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firstSheet="4" activeTab="4"/>
  </bookViews>
  <sheets>
    <sheet name="08.01.2020" sheetId="163" r:id="rId1"/>
    <sheet name="13.01.2020" sheetId="164" r:id="rId2"/>
    <sheet name="20.01.2020" sheetId="165" r:id="rId3"/>
    <sheet name="27.01.2020" sheetId="166" r:id="rId4"/>
    <sheet name="01.06.2020" sheetId="170" r:id="rId5"/>
    <sheet name="Лист1" sheetId="171" r:id="rId6"/>
    <sheet name="Лист2" sheetId="172" r:id="rId7"/>
  </sheets>
  <definedNames>
    <definedName name="_xlnm._FilterDatabase" localSheetId="4" hidden="1">'01.06.2020'!$A$9:$T$202</definedName>
    <definedName name="_xlnm._FilterDatabase" localSheetId="0" hidden="1">'08.01.2020'!$A$9:$T$199</definedName>
    <definedName name="_xlnm._FilterDatabase" localSheetId="1" hidden="1">'13.01.2020'!$A$9:$T$197</definedName>
    <definedName name="_xlnm._FilterDatabase" localSheetId="2" hidden="1">'20.01.2020'!$A$9:$T$197</definedName>
    <definedName name="_xlnm._FilterDatabase" localSheetId="3" hidden="1">'27.01.2020'!$A$9:$T$197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9" i="170" l="1"/>
  <c r="O199" i="170"/>
  <c r="P198" i="170"/>
  <c r="O198" i="170"/>
  <c r="P195" i="170"/>
  <c r="O195" i="170"/>
  <c r="P193" i="170"/>
  <c r="O193" i="170"/>
  <c r="P191" i="170"/>
  <c r="O191" i="170"/>
  <c r="P189" i="170"/>
  <c r="O189" i="170"/>
  <c r="P188" i="170"/>
  <c r="O188" i="170"/>
  <c r="P185" i="170"/>
  <c r="O185" i="170"/>
  <c r="P180" i="170"/>
  <c r="O180" i="170"/>
  <c r="P177" i="170"/>
  <c r="O177" i="170"/>
  <c r="P175" i="170"/>
  <c r="O175" i="170"/>
  <c r="P173" i="170"/>
  <c r="O173" i="170"/>
  <c r="P171" i="170"/>
  <c r="O171" i="170"/>
  <c r="O170" i="170"/>
  <c r="P168" i="170"/>
  <c r="O168" i="170"/>
  <c r="P167" i="170"/>
  <c r="O167" i="170"/>
  <c r="P166" i="170"/>
  <c r="O166" i="170"/>
  <c r="P163" i="170"/>
  <c r="O163" i="170"/>
  <c r="P159" i="170"/>
  <c r="O159" i="170"/>
  <c r="P156" i="170"/>
  <c r="O156" i="170"/>
  <c r="P154" i="170"/>
  <c r="O154" i="170"/>
  <c r="P152" i="170"/>
  <c r="O152" i="170"/>
  <c r="P150" i="170"/>
  <c r="O150" i="170"/>
  <c r="P147" i="170"/>
  <c r="O147" i="170"/>
  <c r="P146" i="170"/>
  <c r="O146" i="170"/>
  <c r="P143" i="170"/>
  <c r="O143" i="170"/>
  <c r="P142" i="170"/>
  <c r="O142" i="170"/>
  <c r="P141" i="170"/>
  <c r="O141" i="170"/>
  <c r="P139" i="170"/>
  <c r="O139" i="170"/>
  <c r="P137" i="170"/>
  <c r="O137" i="170"/>
  <c r="P135" i="170"/>
  <c r="O135" i="170"/>
  <c r="P133" i="170"/>
  <c r="O133" i="170"/>
  <c r="P132" i="170"/>
  <c r="O132" i="170"/>
  <c r="P130" i="170"/>
  <c r="O130" i="170"/>
  <c r="P128" i="170"/>
  <c r="O128" i="170"/>
  <c r="P126" i="170"/>
  <c r="O126" i="170"/>
  <c r="P124" i="170"/>
  <c r="O124" i="170"/>
  <c r="P122" i="170"/>
  <c r="O122" i="170"/>
  <c r="P120" i="170"/>
  <c r="O120" i="170"/>
  <c r="P118" i="170"/>
  <c r="O118" i="170"/>
  <c r="P116" i="170"/>
  <c r="O116" i="170"/>
  <c r="P114" i="170"/>
  <c r="O114" i="170"/>
  <c r="P112" i="170"/>
  <c r="O112" i="170"/>
  <c r="P110" i="170"/>
  <c r="O110" i="170"/>
  <c r="O109" i="170"/>
  <c r="P107" i="170"/>
  <c r="O107" i="170"/>
  <c r="P105" i="170"/>
  <c r="O105" i="170"/>
  <c r="P103" i="170"/>
  <c r="O103" i="170"/>
  <c r="P101" i="170"/>
  <c r="O101" i="170"/>
  <c r="P98" i="170"/>
  <c r="O98" i="170"/>
  <c r="P96" i="170"/>
  <c r="O96" i="170"/>
  <c r="P94" i="170"/>
  <c r="O94" i="170"/>
  <c r="O92" i="170"/>
  <c r="P90" i="170"/>
  <c r="O90" i="170"/>
  <c r="P88" i="170"/>
  <c r="O88" i="170"/>
  <c r="P86" i="170"/>
  <c r="O86" i="170"/>
  <c r="P84" i="170"/>
  <c r="O84" i="170"/>
  <c r="P83" i="170"/>
  <c r="O83" i="170"/>
  <c r="P81" i="170"/>
  <c r="O81" i="170"/>
  <c r="P80" i="170"/>
  <c r="O80" i="170"/>
  <c r="P78" i="170"/>
  <c r="P76" i="170"/>
  <c r="O76" i="170"/>
  <c r="P75" i="170"/>
  <c r="O75" i="170"/>
  <c r="P73" i="170"/>
  <c r="O73" i="170"/>
  <c r="P69" i="170"/>
  <c r="O69" i="170"/>
  <c r="P68" i="170"/>
  <c r="O68" i="170"/>
  <c r="P66" i="170"/>
  <c r="O66" i="170"/>
  <c r="P64" i="170"/>
  <c r="O64" i="170"/>
  <c r="P62" i="170"/>
  <c r="O62" i="170"/>
  <c r="P57" i="170"/>
  <c r="O57" i="170"/>
  <c r="P55" i="170"/>
  <c r="O55" i="170"/>
  <c r="P49" i="170"/>
  <c r="P47" i="170"/>
  <c r="O47" i="170"/>
  <c r="P43" i="170"/>
  <c r="O43" i="170"/>
  <c r="P42" i="170"/>
  <c r="O42" i="170"/>
  <c r="P40" i="170"/>
  <c r="O40" i="170"/>
  <c r="P38" i="170"/>
  <c r="O38" i="170"/>
  <c r="P36" i="170"/>
  <c r="O36" i="170"/>
  <c r="P34" i="170"/>
  <c r="O34" i="170"/>
  <c r="O31" i="170"/>
  <c r="P30" i="170"/>
  <c r="O30" i="170"/>
  <c r="P29" i="170"/>
  <c r="O29" i="170"/>
  <c r="P27" i="170"/>
  <c r="O27" i="170"/>
  <c r="P26" i="170"/>
  <c r="O26" i="170"/>
  <c r="P25" i="170"/>
  <c r="O25" i="170"/>
  <c r="P23" i="170"/>
  <c r="O23" i="170"/>
  <c r="P21" i="170"/>
  <c r="O21" i="170"/>
  <c r="P20" i="170"/>
  <c r="O20" i="170"/>
  <c r="P18" i="170"/>
  <c r="O18" i="170"/>
  <c r="P15" i="170"/>
  <c r="O15" i="170"/>
  <c r="P12" i="170"/>
  <c r="O12" i="170"/>
  <c r="P10" i="170"/>
  <c r="O10" i="170"/>
  <c r="L199" i="170"/>
  <c r="K199" i="170"/>
  <c r="L198" i="170"/>
  <c r="K198" i="170"/>
  <c r="L193" i="170"/>
  <c r="K193" i="170"/>
  <c r="L191" i="170"/>
  <c r="K191" i="170"/>
  <c r="L189" i="170"/>
  <c r="K189" i="170"/>
  <c r="L188" i="170"/>
  <c r="K188" i="170"/>
  <c r="L185" i="170"/>
  <c r="K185" i="170"/>
  <c r="L180" i="170"/>
  <c r="K180" i="170"/>
  <c r="L175" i="170"/>
  <c r="K175" i="170"/>
  <c r="L171" i="170"/>
  <c r="K171" i="170"/>
  <c r="L170" i="170"/>
  <c r="K170" i="170"/>
  <c r="L167" i="170"/>
  <c r="K167" i="170"/>
  <c r="L163" i="170"/>
  <c r="K163" i="170"/>
  <c r="L159" i="170"/>
  <c r="K159" i="170"/>
  <c r="L156" i="170"/>
  <c r="K156" i="170"/>
  <c r="L154" i="170"/>
  <c r="K154" i="170"/>
  <c r="L152" i="170"/>
  <c r="K152" i="170"/>
  <c r="L149" i="170"/>
  <c r="K149" i="170"/>
  <c r="L147" i="170"/>
  <c r="K147" i="170"/>
  <c r="L143" i="170"/>
  <c r="K143" i="170"/>
  <c r="L141" i="170"/>
  <c r="K141" i="170"/>
  <c r="L139" i="170"/>
  <c r="K139" i="170"/>
  <c r="L135" i="170"/>
  <c r="K135" i="170"/>
  <c r="L132" i="170"/>
  <c r="K132" i="170"/>
  <c r="L130" i="170"/>
  <c r="K130" i="170"/>
  <c r="L128" i="170"/>
  <c r="K128" i="170"/>
  <c r="L126" i="170"/>
  <c r="K126" i="170"/>
  <c r="L124" i="170"/>
  <c r="K124" i="170"/>
  <c r="L122" i="170"/>
  <c r="K122" i="170"/>
  <c r="L120" i="170"/>
  <c r="K120" i="170"/>
  <c r="L118" i="170"/>
  <c r="K118" i="170"/>
  <c r="L114" i="170"/>
  <c r="K114" i="170"/>
  <c r="L112" i="170"/>
  <c r="K112" i="170"/>
  <c r="L110" i="170"/>
  <c r="K110" i="170"/>
  <c r="L109" i="170"/>
  <c r="K109" i="170"/>
  <c r="L107" i="170"/>
  <c r="K107" i="170"/>
  <c r="L105" i="170"/>
  <c r="K105" i="170"/>
  <c r="L103" i="170"/>
  <c r="K103" i="170"/>
  <c r="L101" i="170"/>
  <c r="K101" i="170"/>
  <c r="L98" i="170"/>
  <c r="K98" i="170"/>
  <c r="L96" i="170"/>
  <c r="K96" i="170"/>
  <c r="L94" i="170"/>
  <c r="K94" i="170"/>
  <c r="L92" i="170"/>
  <c r="K92" i="170"/>
  <c r="L88" i="170"/>
  <c r="K88" i="170"/>
  <c r="L86" i="170"/>
  <c r="K86" i="170"/>
  <c r="L81" i="170"/>
  <c r="K81" i="170"/>
  <c r="L80" i="170"/>
  <c r="K80" i="170"/>
  <c r="L79" i="170"/>
  <c r="K79" i="170"/>
  <c r="L78" i="170"/>
  <c r="K78" i="170"/>
  <c r="L76" i="170"/>
  <c r="K76" i="170"/>
  <c r="L75" i="170"/>
  <c r="K75" i="170"/>
  <c r="L73" i="170"/>
  <c r="K73" i="170"/>
  <c r="L69" i="170"/>
  <c r="K69" i="170"/>
  <c r="L68" i="170"/>
  <c r="K68" i="170"/>
  <c r="L66" i="170"/>
  <c r="K66" i="170"/>
  <c r="L64" i="170"/>
  <c r="K64" i="170"/>
  <c r="L62" i="170"/>
  <c r="K62" i="170"/>
  <c r="L57" i="170"/>
  <c r="K57" i="170"/>
  <c r="L55" i="170"/>
  <c r="K55" i="170"/>
  <c r="L49" i="170"/>
  <c r="K49" i="170"/>
  <c r="L47" i="170"/>
  <c r="K47" i="170"/>
  <c r="L43" i="170"/>
  <c r="K43" i="170"/>
  <c r="L42" i="170"/>
  <c r="K42" i="170"/>
  <c r="L40" i="170"/>
  <c r="K40" i="170"/>
  <c r="L38" i="170"/>
  <c r="K38" i="170"/>
  <c r="L36" i="170"/>
  <c r="K36" i="170"/>
  <c r="L34" i="170"/>
  <c r="K34" i="170"/>
  <c r="L30" i="170"/>
  <c r="K30" i="170"/>
  <c r="L29" i="170"/>
  <c r="K29" i="170"/>
  <c r="L27" i="170"/>
  <c r="K27" i="170"/>
  <c r="L26" i="170"/>
  <c r="K26" i="170"/>
  <c r="L25" i="170"/>
  <c r="K25" i="170"/>
  <c r="L23" i="170"/>
  <c r="K23" i="170"/>
  <c r="L20" i="170"/>
  <c r="K20" i="170"/>
  <c r="L18" i="170"/>
  <c r="K18" i="170"/>
  <c r="L15" i="170"/>
  <c r="K15" i="170"/>
  <c r="L13" i="170"/>
  <c r="K13" i="170"/>
  <c r="L10" i="170"/>
  <c r="L200" i="170" s="1"/>
  <c r="K10" i="170"/>
  <c r="K200" i="170" s="1"/>
  <c r="P200" i="170" l="1"/>
  <c r="O200" i="170"/>
  <c r="J199" i="170"/>
  <c r="J188" i="170"/>
  <c r="N133" i="170"/>
  <c r="J133" i="170"/>
  <c r="J105" i="170"/>
  <c r="N86" i="170"/>
  <c r="N81" i="170"/>
  <c r="J81" i="170"/>
  <c r="J76" i="170"/>
  <c r="J73" i="170"/>
  <c r="N64" i="170"/>
  <c r="J64" i="170"/>
  <c r="N55" i="170"/>
  <c r="J55" i="170"/>
  <c r="N47" i="170"/>
  <c r="J47" i="170"/>
  <c r="J38" i="170"/>
  <c r="N30" i="170"/>
  <c r="J30" i="170"/>
  <c r="N20" i="170"/>
  <c r="J18" i="170"/>
  <c r="N13" i="170"/>
  <c r="J13" i="170"/>
  <c r="J12" i="170"/>
  <c r="N10" i="170"/>
  <c r="J10" i="170"/>
  <c r="N122" i="170" l="1"/>
  <c r="J122" i="170"/>
  <c r="J29" i="170"/>
  <c r="N180" i="170" l="1"/>
  <c r="J180" i="170"/>
  <c r="N175" i="170"/>
  <c r="J175" i="170"/>
  <c r="N141" i="170"/>
  <c r="J141" i="170"/>
  <c r="J139" i="170"/>
  <c r="N135" i="170"/>
  <c r="J135" i="170"/>
  <c r="J120" i="170"/>
  <c r="N118" i="170"/>
  <c r="J118" i="170"/>
  <c r="J114" i="170"/>
  <c r="J110" i="170"/>
  <c r="J107" i="170"/>
  <c r="N94" i="170"/>
  <c r="J94" i="170"/>
  <c r="N76" i="170"/>
  <c r="J69" i="170"/>
  <c r="N66" i="170"/>
  <c r="J66" i="170"/>
  <c r="N57" i="170"/>
  <c r="J57" i="170"/>
  <c r="J49" i="170"/>
  <c r="J43" i="170"/>
  <c r="J42" i="170"/>
  <c r="J34" i="170"/>
  <c r="J23" i="170"/>
  <c r="J20" i="170"/>
  <c r="J15" i="170"/>
  <c r="J109" i="170" l="1"/>
  <c r="J27" i="170"/>
  <c r="J80" i="170" l="1"/>
  <c r="J198" i="170" l="1"/>
  <c r="N193" i="170"/>
  <c r="J193" i="170"/>
  <c r="J103" i="170"/>
  <c r="N167" i="170" l="1"/>
  <c r="J167" i="170"/>
  <c r="N156" i="170"/>
  <c r="J154" i="170"/>
  <c r="J143" i="170"/>
  <c r="N120" i="170"/>
  <c r="J84" i="170"/>
  <c r="J75" i="170"/>
  <c r="N36" i="170"/>
  <c r="N12" i="170"/>
  <c r="H200" i="170" l="1"/>
  <c r="Q99" i="170" l="1"/>
  <c r="M17" i="170" l="1"/>
  <c r="N195" i="170" l="1"/>
  <c r="J195" i="170"/>
  <c r="J191" i="170"/>
  <c r="J168" i="170"/>
  <c r="J149" i="170"/>
  <c r="J147" i="170"/>
  <c r="N130" i="170"/>
  <c r="J130" i="170"/>
  <c r="N114" i="170"/>
  <c r="N107" i="170"/>
  <c r="N101" i="170"/>
  <c r="J101" i="170"/>
  <c r="J92" i="170"/>
  <c r="N78" i="170"/>
  <c r="J78" i="170"/>
  <c r="N68" i="170"/>
  <c r="J68" i="170"/>
  <c r="N62" i="170"/>
  <c r="J62" i="170"/>
  <c r="N43" i="170"/>
  <c r="N40" i="170"/>
  <c r="N34" i="170"/>
  <c r="N26" i="170"/>
  <c r="J26" i="170"/>
  <c r="N103" i="170" l="1"/>
  <c r="N79" i="170"/>
  <c r="N75" i="170"/>
  <c r="N199" i="170" l="1"/>
  <c r="J185" i="170"/>
  <c r="N171" i="170"/>
  <c r="J171" i="170"/>
  <c r="J170" i="170"/>
  <c r="N168" i="170"/>
  <c r="J159" i="170"/>
  <c r="J156" i="170"/>
  <c r="N139" i="170"/>
  <c r="J128" i="170"/>
  <c r="N126" i="170"/>
  <c r="J126" i="170"/>
  <c r="N124" i="170"/>
  <c r="J124" i="170"/>
  <c r="N98" i="170"/>
  <c r="J96" i="170"/>
  <c r="N92" i="170"/>
  <c r="N80" i="170"/>
  <c r="J31" i="170"/>
  <c r="N18" i="170"/>
  <c r="J152" i="170" l="1"/>
  <c r="N23" i="170"/>
  <c r="Q17" i="170" l="1"/>
  <c r="Q146" i="170"/>
  <c r="N112" i="170" l="1"/>
  <c r="J112" i="170"/>
  <c r="N109" i="170"/>
  <c r="J86" i="170"/>
  <c r="N25" i="170"/>
  <c r="J25" i="170"/>
  <c r="Q165" i="170" l="1"/>
  <c r="M165" i="170"/>
  <c r="N163" i="170" l="1"/>
  <c r="J163" i="170"/>
  <c r="N110" i="170"/>
  <c r="N73" i="170"/>
  <c r="N49" i="170"/>
  <c r="N42" i="170"/>
  <c r="J40" i="170"/>
  <c r="N27" i="170"/>
  <c r="N189" i="170"/>
  <c r="J189" i="170"/>
  <c r="N152" i="170"/>
  <c r="N105" i="170"/>
  <c r="N88" i="170"/>
  <c r="N69" i="170"/>
  <c r="N198" i="170"/>
  <c r="N143" i="170"/>
  <c r="N132" i="170"/>
  <c r="N96" i="170"/>
  <c r="N83" i="170"/>
  <c r="N159" i="170" l="1"/>
  <c r="N147" i="170"/>
  <c r="J132" i="170"/>
  <c r="N128" i="170" l="1"/>
  <c r="N29" i="170"/>
  <c r="N137" i="170" l="1"/>
  <c r="J98" i="170"/>
  <c r="N38" i="170"/>
  <c r="N21" i="170"/>
  <c r="Q43" i="170" l="1"/>
  <c r="N191" i="170" l="1"/>
  <c r="N185" i="170"/>
  <c r="J88" i="170"/>
  <c r="N84" i="170"/>
  <c r="N15" i="170"/>
  <c r="Q183" i="170"/>
  <c r="Q182" i="170"/>
  <c r="Q155" i="170"/>
  <c r="M133" i="170" l="1"/>
  <c r="M49" i="170"/>
  <c r="Q178" i="170"/>
  <c r="Q171" i="170"/>
  <c r="Q170" i="170"/>
  <c r="Q161" i="170"/>
  <c r="Q149" i="170"/>
  <c r="Q145" i="170"/>
  <c r="Q137" i="170"/>
  <c r="Q124" i="170"/>
  <c r="Q109" i="170"/>
  <c r="Q93" i="170"/>
  <c r="Q92" i="170"/>
  <c r="Q88" i="170"/>
  <c r="Q84" i="170"/>
  <c r="Q79" i="170"/>
  <c r="Q71" i="170"/>
  <c r="Q60" i="170"/>
  <c r="Q59" i="170"/>
  <c r="Q52" i="170"/>
  <c r="Q31" i="170"/>
  <c r="Q13" i="170"/>
  <c r="M198" i="170"/>
  <c r="M195" i="170"/>
  <c r="M191" i="170"/>
  <c r="M178" i="170"/>
  <c r="M177" i="170"/>
  <c r="M175" i="170"/>
  <c r="M173" i="170"/>
  <c r="M171" i="170"/>
  <c r="M168" i="170"/>
  <c r="M166" i="170"/>
  <c r="M163" i="170"/>
  <c r="M161" i="170"/>
  <c r="M150" i="170"/>
  <c r="M147" i="170"/>
  <c r="M145" i="170"/>
  <c r="M142" i="170"/>
  <c r="M141" i="170"/>
  <c r="M139" i="170"/>
  <c r="M137" i="170"/>
  <c r="M132" i="170"/>
  <c r="M126" i="170"/>
  <c r="M124" i="170"/>
  <c r="M116" i="170"/>
  <c r="M110" i="170"/>
  <c r="M98" i="170"/>
  <c r="M96" i="170"/>
  <c r="M93" i="170"/>
  <c r="M92" i="170"/>
  <c r="M90" i="170"/>
  <c r="M88" i="170"/>
  <c r="M84" i="170"/>
  <c r="M83" i="170"/>
  <c r="M79" i="170"/>
  <c r="M75" i="170"/>
  <c r="M73" i="170"/>
  <c r="M71" i="170"/>
  <c r="M69" i="170"/>
  <c r="M66" i="170"/>
  <c r="M60" i="170"/>
  <c r="M59" i="170"/>
  <c r="M52" i="170"/>
  <c r="M42" i="170"/>
  <c r="M40" i="170"/>
  <c r="M38" i="170"/>
  <c r="M31" i="170"/>
  <c r="M21" i="170"/>
  <c r="M15" i="170"/>
  <c r="M12" i="170"/>
  <c r="M188" i="170"/>
  <c r="M185" i="170"/>
  <c r="Q180" i="170"/>
  <c r="M159" i="170"/>
  <c r="Q154" i="170"/>
  <c r="M152" i="170"/>
  <c r="M149" i="170"/>
  <c r="M135" i="170"/>
  <c r="M130" i="170"/>
  <c r="M120" i="170"/>
  <c r="M114" i="170"/>
  <c r="M107" i="170"/>
  <c r="M76" i="170"/>
  <c r="M55" i="170"/>
  <c r="M47" i="170"/>
  <c r="M34" i="170"/>
  <c r="M27" i="170"/>
  <c r="Q20" i="170"/>
  <c r="Q114" i="170"/>
  <c r="Q98" i="170"/>
  <c r="Q42" i="170"/>
  <c r="M170" i="170"/>
  <c r="Q167" i="170"/>
  <c r="M156" i="170"/>
  <c r="Q118" i="170" l="1"/>
  <c r="Q141" i="170"/>
  <c r="M193" i="170"/>
  <c r="M86" i="170"/>
  <c r="M109" i="170"/>
  <c r="M167" i="170"/>
  <c r="M64" i="170"/>
  <c r="M118" i="170"/>
  <c r="Q122" i="170"/>
  <c r="Q12" i="170"/>
  <c r="Q193" i="170"/>
  <c r="Q105" i="170"/>
  <c r="Q69" i="170"/>
  <c r="Q49" i="170"/>
  <c r="Q94" i="170"/>
  <c r="Q103" i="170"/>
  <c r="M23" i="170"/>
  <c r="Q29" i="170"/>
  <c r="Q40" i="170"/>
  <c r="M94" i="170"/>
  <c r="M103" i="170"/>
  <c r="Q133" i="170"/>
  <c r="M189" i="170"/>
  <c r="Q195" i="170"/>
  <c r="Q64" i="170"/>
  <c r="M29" i="170"/>
  <c r="M36" i="170"/>
  <c r="M78" i="170"/>
  <c r="M122" i="170"/>
  <c r="M20" i="170"/>
  <c r="Q30" i="170"/>
  <c r="Q55" i="170"/>
  <c r="M180" i="170"/>
  <c r="Q142" i="170"/>
  <c r="Q86" i="170"/>
  <c r="Q189" i="170"/>
  <c r="M30" i="170"/>
  <c r="M57" i="170"/>
  <c r="M101" i="170"/>
  <c r="Q120" i="170"/>
  <c r="M154" i="170"/>
  <c r="N188" i="170" l="1"/>
  <c r="N149" i="170"/>
  <c r="N154" i="170" l="1"/>
  <c r="I200" i="170"/>
  <c r="Q199" i="170"/>
  <c r="M199" i="170"/>
  <c r="Q198" i="170"/>
  <c r="Q197" i="170"/>
  <c r="M197" i="170"/>
  <c r="Q196" i="170"/>
  <c r="M196" i="170"/>
  <c r="Q194" i="170"/>
  <c r="M194" i="170"/>
  <c r="Q192" i="170"/>
  <c r="M192" i="170"/>
  <c r="Q190" i="170"/>
  <c r="M190" i="170"/>
  <c r="Q188" i="170"/>
  <c r="Q186" i="170"/>
  <c r="M186" i="170"/>
  <c r="Q185" i="170"/>
  <c r="Q184" i="170"/>
  <c r="M184" i="170"/>
  <c r="M183" i="170"/>
  <c r="M182" i="170"/>
  <c r="Q181" i="170"/>
  <c r="M181" i="170"/>
  <c r="Q179" i="170"/>
  <c r="M179" i="170"/>
  <c r="Q177" i="170"/>
  <c r="N177" i="170"/>
  <c r="Q176" i="170"/>
  <c r="M176" i="170"/>
  <c r="Q174" i="170"/>
  <c r="M174" i="170"/>
  <c r="N173" i="170"/>
  <c r="Q172" i="170"/>
  <c r="M172" i="170"/>
  <c r="Q169" i="170"/>
  <c r="M169" i="170"/>
  <c r="Q162" i="170"/>
  <c r="M162" i="170"/>
  <c r="Q160" i="170"/>
  <c r="M160" i="170"/>
  <c r="Q159" i="170"/>
  <c r="Q158" i="170"/>
  <c r="M158" i="170"/>
  <c r="Q157" i="170"/>
  <c r="M157" i="170"/>
  <c r="M155" i="170"/>
  <c r="Q153" i="170"/>
  <c r="M153" i="170"/>
  <c r="Q152" i="170"/>
  <c r="M151" i="170"/>
  <c r="Q150" i="170"/>
  <c r="N150" i="170"/>
  <c r="Q148" i="170"/>
  <c r="M148" i="170"/>
  <c r="Q144" i="170"/>
  <c r="M144" i="170"/>
  <c r="N142" i="170"/>
  <c r="Q140" i="170"/>
  <c r="M140" i="170"/>
  <c r="Q138" i="170"/>
  <c r="M138" i="170"/>
  <c r="Q136" i="170"/>
  <c r="M136" i="170"/>
  <c r="Q135" i="170"/>
  <c r="Q134" i="170"/>
  <c r="M134" i="170"/>
  <c r="Q131" i="170"/>
  <c r="M131" i="170"/>
  <c r="Q130" i="170"/>
  <c r="Q129" i="170"/>
  <c r="M129" i="170"/>
  <c r="M128" i="170"/>
  <c r="Q127" i="170"/>
  <c r="M127" i="170"/>
  <c r="Q125" i="170"/>
  <c r="M125" i="170"/>
  <c r="Q123" i="170"/>
  <c r="M123" i="170"/>
  <c r="Q121" i="170"/>
  <c r="M121" i="170"/>
  <c r="Q119" i="170"/>
  <c r="M119" i="170"/>
  <c r="N116" i="170"/>
  <c r="Q115" i="170"/>
  <c r="M115" i="170"/>
  <c r="Q113" i="170"/>
  <c r="M113" i="170"/>
  <c r="M112" i="170"/>
  <c r="Q111" i="170"/>
  <c r="M111" i="170"/>
  <c r="Q108" i="170"/>
  <c r="M108" i="170"/>
  <c r="Q107" i="170"/>
  <c r="Q106" i="170"/>
  <c r="M106" i="170"/>
  <c r="M105" i="170"/>
  <c r="Q104" i="170"/>
  <c r="M104" i="170"/>
  <c r="Q102" i="170"/>
  <c r="M102" i="170"/>
  <c r="Q101" i="170"/>
  <c r="Q100" i="170"/>
  <c r="M100" i="170"/>
  <c r="M99" i="170"/>
  <c r="Q97" i="170"/>
  <c r="M97" i="170"/>
  <c r="Q95" i="170"/>
  <c r="M95" i="170"/>
  <c r="Q91" i="170"/>
  <c r="M91" i="170"/>
  <c r="Q90" i="170"/>
  <c r="N90" i="170"/>
  <c r="J90" i="170"/>
  <c r="Q89" i="170"/>
  <c r="M89" i="170"/>
  <c r="Q87" i="170"/>
  <c r="M87" i="170"/>
  <c r="Q85" i="170"/>
  <c r="M85" i="170"/>
  <c r="Q83" i="170"/>
  <c r="Q82" i="170"/>
  <c r="M82" i="170"/>
  <c r="Q80" i="170"/>
  <c r="M80" i="170"/>
  <c r="Q77" i="170"/>
  <c r="M77" i="170"/>
  <c r="Q75" i="170"/>
  <c r="Q74" i="170"/>
  <c r="M74" i="170"/>
  <c r="Q72" i="170"/>
  <c r="M72" i="170"/>
  <c r="Q70" i="170"/>
  <c r="M70" i="170"/>
  <c r="Q68" i="170"/>
  <c r="Q67" i="170"/>
  <c r="M67" i="170"/>
  <c r="Q66" i="170"/>
  <c r="Q65" i="170"/>
  <c r="M65" i="170"/>
  <c r="Q63" i="170"/>
  <c r="M63" i="170"/>
  <c r="Q62" i="170"/>
  <c r="M62" i="170"/>
  <c r="Q61" i="170"/>
  <c r="M61" i="170"/>
  <c r="Q58" i="170"/>
  <c r="M58" i="170"/>
  <c r="Q57" i="170"/>
  <c r="Q56" i="170"/>
  <c r="M56" i="170"/>
  <c r="Q54" i="170"/>
  <c r="M54" i="170"/>
  <c r="Q53" i="170"/>
  <c r="M53" i="170"/>
  <c r="Q51" i="170"/>
  <c r="M51" i="170"/>
  <c r="Q50" i="170"/>
  <c r="M50" i="170"/>
  <c r="Q48" i="170"/>
  <c r="M48" i="170"/>
  <c r="Q47" i="170"/>
  <c r="Q46" i="170"/>
  <c r="M46" i="170"/>
  <c r="Q45" i="170"/>
  <c r="M45" i="170"/>
  <c r="Q44" i="170"/>
  <c r="M44" i="170"/>
  <c r="M43" i="170"/>
  <c r="Q41" i="170"/>
  <c r="M41" i="170"/>
  <c r="Q39" i="170"/>
  <c r="M39" i="170"/>
  <c r="Q37" i="170"/>
  <c r="M37" i="170"/>
  <c r="J36" i="170"/>
  <c r="Q35" i="170"/>
  <c r="M35" i="170"/>
  <c r="Q33" i="170"/>
  <c r="M33" i="170"/>
  <c r="Q32" i="170"/>
  <c r="M32" i="170"/>
  <c r="Q28" i="170"/>
  <c r="M28" i="170"/>
  <c r="Q26" i="170"/>
  <c r="M26" i="170"/>
  <c r="Q24" i="170"/>
  <c r="M24" i="170"/>
  <c r="Q22" i="170"/>
  <c r="M22" i="170"/>
  <c r="Q19" i="170"/>
  <c r="M19" i="170"/>
  <c r="Q18" i="170"/>
  <c r="M18" i="170"/>
  <c r="Q16" i="170"/>
  <c r="M16" i="170"/>
  <c r="Q14" i="170"/>
  <c r="M14" i="170"/>
  <c r="Q11" i="170"/>
  <c r="M11" i="170"/>
  <c r="M10" i="170"/>
  <c r="B9" i="170"/>
  <c r="C9" i="170" s="1"/>
  <c r="D9" i="170" s="1"/>
  <c r="E9" i="170" s="1"/>
  <c r="F9" i="170" s="1"/>
  <c r="G9" i="170" s="1"/>
  <c r="H9" i="170" s="1"/>
  <c r="I9" i="170" s="1"/>
  <c r="J9" i="170" s="1"/>
  <c r="K9" i="170" s="1"/>
  <c r="L9" i="170" s="1"/>
  <c r="M9" i="170" s="1"/>
  <c r="N9" i="170" s="1"/>
  <c r="O9" i="170" s="1"/>
  <c r="P9" i="170" s="1"/>
  <c r="Q9" i="170" s="1"/>
  <c r="Q15" i="170" l="1"/>
  <c r="Q23" i="170"/>
  <c r="M25" i="170"/>
  <c r="Q34" i="170"/>
  <c r="Q36" i="170"/>
  <c r="M68" i="170"/>
  <c r="Q73" i="170"/>
  <c r="M81" i="170"/>
  <c r="Q96" i="170"/>
  <c r="Q128" i="170"/>
  <c r="Q139" i="170"/>
  <c r="M143" i="170"/>
  <c r="Q156" i="170"/>
  <c r="Q168" i="170"/>
  <c r="M13" i="170"/>
  <c r="Q21" i="170"/>
  <c r="Q25" i="170"/>
  <c r="Q27" i="170"/>
  <c r="Q38" i="170"/>
  <c r="Q76" i="170"/>
  <c r="Q78" i="170"/>
  <c r="Q81" i="170"/>
  <c r="Q110" i="170"/>
  <c r="Q112" i="170"/>
  <c r="Q116" i="170"/>
  <c r="Q126" i="170"/>
  <c r="Q132" i="170"/>
  <c r="Q143" i="170"/>
  <c r="Q147" i="170"/>
  <c r="Q163" i="170"/>
  <c r="Q166" i="170"/>
  <c r="Q173" i="170"/>
  <c r="Q175" i="170"/>
  <c r="Q191" i="170"/>
  <c r="N200" i="170"/>
  <c r="J200" i="170"/>
  <c r="Q10" i="170"/>
  <c r="Q200" i="170" l="1"/>
  <c r="M200" i="170"/>
  <c r="P194" i="166"/>
  <c r="P193" i="166"/>
  <c r="P190" i="166"/>
  <c r="P188" i="166"/>
  <c r="P186" i="166"/>
  <c r="P184" i="166"/>
  <c r="P183" i="166"/>
  <c r="P181" i="166"/>
  <c r="P176" i="166"/>
  <c r="P171" i="166"/>
  <c r="P167" i="166"/>
  <c r="P162" i="166"/>
  <c r="P161" i="166"/>
  <c r="P157" i="166"/>
  <c r="P154" i="166"/>
  <c r="P150" i="166"/>
  <c r="P145" i="166"/>
  <c r="P142" i="166"/>
  <c r="P140" i="166"/>
  <c r="P138" i="166"/>
  <c r="P134" i="166"/>
  <c r="P129" i="166"/>
  <c r="P127" i="166"/>
  <c r="P125" i="166"/>
  <c r="P121" i="166"/>
  <c r="P119" i="166"/>
  <c r="P117" i="166"/>
  <c r="P116" i="166"/>
  <c r="P112" i="166"/>
  <c r="P107" i="166"/>
  <c r="P105" i="166"/>
  <c r="P103" i="166"/>
  <c r="P101" i="166"/>
  <c r="P98" i="166"/>
  <c r="P96" i="166"/>
  <c r="P94" i="166"/>
  <c r="P90" i="166"/>
  <c r="P86" i="166"/>
  <c r="P80" i="166"/>
  <c r="P78" i="166"/>
  <c r="P76" i="166"/>
  <c r="P75" i="166"/>
  <c r="P73" i="166"/>
  <c r="P69" i="166"/>
  <c r="P68" i="166"/>
  <c r="P62" i="166"/>
  <c r="P57" i="166"/>
  <c r="P48" i="166"/>
  <c r="P46" i="166"/>
  <c r="P42" i="166"/>
  <c r="P41" i="166"/>
  <c r="P39" i="166"/>
  <c r="P37" i="166"/>
  <c r="P33" i="166"/>
  <c r="P29" i="166"/>
  <c r="P26" i="166"/>
  <c r="P25" i="166"/>
  <c r="P24" i="166"/>
  <c r="P22" i="166"/>
  <c r="P19" i="166"/>
  <c r="P13" i="166"/>
  <c r="P12" i="166"/>
  <c r="L176" i="166"/>
  <c r="L154" i="166"/>
  <c r="L145" i="166"/>
  <c r="L142" i="166"/>
  <c r="L127" i="166"/>
  <c r="L121" i="166"/>
  <c r="L112" i="166"/>
  <c r="L101" i="166"/>
  <c r="L80" i="166"/>
  <c r="L68" i="166"/>
  <c r="L62" i="166"/>
  <c r="O62" i="166"/>
  <c r="O162" i="166"/>
  <c r="O134" i="166"/>
  <c r="O107" i="166"/>
  <c r="O86" i="166"/>
  <c r="O193" i="166"/>
  <c r="O190" i="166"/>
  <c r="O184" i="166"/>
  <c r="O183" i="166"/>
  <c r="O181" i="166"/>
  <c r="O171" i="166"/>
  <c r="O154" i="166"/>
  <c r="K154" i="166"/>
  <c r="O150" i="166"/>
  <c r="O142" i="166"/>
  <c r="K142" i="166"/>
  <c r="O140" i="166"/>
  <c r="O129" i="166"/>
  <c r="O33" i="166"/>
  <c r="O121" i="166"/>
  <c r="K121" i="166"/>
  <c r="O119" i="166"/>
  <c r="O117" i="166"/>
  <c r="O112" i="166"/>
  <c r="O105" i="166"/>
  <c r="O96" i="166"/>
  <c r="O78" i="166"/>
  <c r="O76" i="166"/>
  <c r="O75" i="166"/>
  <c r="O48" i="166"/>
  <c r="O41" i="166"/>
  <c r="O39" i="166"/>
  <c r="O29" i="166"/>
  <c r="O25" i="166"/>
  <c r="O22" i="166"/>
  <c r="K176" i="166"/>
  <c r="O194" i="166"/>
  <c r="O188" i="166"/>
  <c r="O186" i="166"/>
  <c r="O167" i="166"/>
  <c r="O161" i="166"/>
  <c r="O157" i="166"/>
  <c r="O138" i="166"/>
  <c r="O125" i="166"/>
  <c r="O116" i="166"/>
  <c r="O103" i="166"/>
  <c r="O98" i="166"/>
  <c r="O94" i="166"/>
  <c r="O90" i="166"/>
  <c r="O73" i="166"/>
  <c r="O69" i="166"/>
  <c r="O57" i="166"/>
  <c r="O46" i="166"/>
  <c r="O42" i="166"/>
  <c r="O37" i="166"/>
  <c r="O26" i="166"/>
  <c r="O24" i="166"/>
  <c r="O13" i="166"/>
  <c r="O12" i="166"/>
  <c r="O176" i="166"/>
  <c r="O145" i="166"/>
  <c r="K145" i="166"/>
  <c r="O127" i="166"/>
  <c r="K127" i="166"/>
  <c r="K112" i="166"/>
  <c r="O101" i="166"/>
  <c r="K101" i="166"/>
  <c r="O80" i="166"/>
  <c r="K80" i="166"/>
  <c r="O68" i="166"/>
  <c r="K68" i="166"/>
  <c r="K62" i="166"/>
  <c r="O19" i="166"/>
  <c r="N169" i="166" l="1"/>
  <c r="N194" i="166"/>
  <c r="J194" i="166"/>
  <c r="N190" i="166"/>
  <c r="J190" i="166"/>
  <c r="N184" i="166"/>
  <c r="N183" i="166"/>
  <c r="N164" i="166"/>
  <c r="N163" i="166"/>
  <c r="N154" i="166"/>
  <c r="J154" i="166"/>
  <c r="N150" i="166"/>
  <c r="N142" i="166"/>
  <c r="J142" i="166"/>
  <c r="N131" i="166"/>
  <c r="N127" i="166"/>
  <c r="N121" i="166"/>
  <c r="J121" i="166"/>
  <c r="N119" i="166"/>
  <c r="N112" i="166"/>
  <c r="N105" i="166"/>
  <c r="J105" i="166"/>
  <c r="N86" i="166"/>
  <c r="N78" i="166"/>
  <c r="N75" i="166"/>
  <c r="N57" i="166"/>
  <c r="N39" i="166"/>
  <c r="N35" i="166"/>
  <c r="N29" i="166"/>
  <c r="N28" i="166"/>
  <c r="J28" i="166"/>
  <c r="N22" i="166"/>
  <c r="J22" i="166"/>
  <c r="N19" i="166"/>
  <c r="P195" i="166" l="1"/>
  <c r="O195" i="166"/>
  <c r="L195" i="166"/>
  <c r="K195" i="166"/>
  <c r="I195" i="166"/>
  <c r="H195" i="166"/>
  <c r="Q194" i="166"/>
  <c r="M194" i="166"/>
  <c r="N193" i="166"/>
  <c r="M193" i="166"/>
  <c r="J193" i="166"/>
  <c r="Q192" i="166"/>
  <c r="M192" i="166"/>
  <c r="Q191" i="166"/>
  <c r="N191" i="166"/>
  <c r="M191" i="166"/>
  <c r="Q190" i="166"/>
  <c r="M190" i="166"/>
  <c r="Q189" i="166"/>
  <c r="N189" i="166"/>
  <c r="M189" i="166"/>
  <c r="Q188" i="166"/>
  <c r="M188" i="166"/>
  <c r="Q187" i="166"/>
  <c r="M187" i="166"/>
  <c r="Q186" i="166"/>
  <c r="N186" i="166"/>
  <c r="M186" i="166"/>
  <c r="Q185" i="166"/>
  <c r="M185" i="166"/>
  <c r="Q184" i="166"/>
  <c r="M184" i="166"/>
  <c r="Q183" i="166"/>
  <c r="M183" i="166"/>
  <c r="Q182" i="166"/>
  <c r="M182" i="166"/>
  <c r="Q181" i="166"/>
  <c r="N181" i="166"/>
  <c r="M181" i="166"/>
  <c r="Q180" i="166"/>
  <c r="N180" i="166"/>
  <c r="M180" i="166"/>
  <c r="M179" i="166"/>
  <c r="M178" i="166"/>
  <c r="Q177" i="166"/>
  <c r="N177" i="166"/>
  <c r="M177" i="166"/>
  <c r="Q176" i="166"/>
  <c r="N176" i="166"/>
  <c r="M176" i="166"/>
  <c r="J176" i="166"/>
  <c r="Q175" i="166"/>
  <c r="M175" i="166"/>
  <c r="Q174" i="166"/>
  <c r="M174" i="166"/>
  <c r="M173" i="166"/>
  <c r="Q172" i="166"/>
  <c r="N172" i="166"/>
  <c r="M172" i="166"/>
  <c r="Q171" i="166"/>
  <c r="N171" i="166"/>
  <c r="M171" i="166"/>
  <c r="Q170" i="166"/>
  <c r="M170" i="166"/>
  <c r="Q169" i="166"/>
  <c r="M169" i="166"/>
  <c r="Q168" i="166"/>
  <c r="M168" i="166"/>
  <c r="Q167" i="166"/>
  <c r="N167" i="166"/>
  <c r="M167" i="166"/>
  <c r="Q165" i="166"/>
  <c r="M165" i="166"/>
  <c r="Q164" i="166"/>
  <c r="M164" i="166"/>
  <c r="M163" i="166"/>
  <c r="Q162" i="166"/>
  <c r="M162" i="166"/>
  <c r="Q161" i="166"/>
  <c r="N161" i="166"/>
  <c r="M161" i="166"/>
  <c r="Q160" i="166"/>
  <c r="M160" i="166"/>
  <c r="Q159" i="166"/>
  <c r="M159" i="166"/>
  <c r="Q158" i="166"/>
  <c r="M158" i="166"/>
  <c r="Q157" i="166"/>
  <c r="N157" i="166"/>
  <c r="M157" i="166"/>
  <c r="Q156" i="166"/>
  <c r="M156" i="166"/>
  <c r="Q155" i="166"/>
  <c r="M155" i="166"/>
  <c r="Q154" i="166"/>
  <c r="M154" i="166"/>
  <c r="M153" i="166"/>
  <c r="N152" i="166"/>
  <c r="M152" i="166"/>
  <c r="J152" i="166"/>
  <c r="Q151" i="166"/>
  <c r="N151" i="166"/>
  <c r="M151" i="166"/>
  <c r="Q150" i="166"/>
  <c r="M150" i="166"/>
  <c r="M149" i="166"/>
  <c r="Q148" i="166"/>
  <c r="M148" i="166"/>
  <c r="M147" i="166"/>
  <c r="Q146" i="166"/>
  <c r="M146" i="166"/>
  <c r="Q145" i="166"/>
  <c r="N145" i="166"/>
  <c r="M145" i="166"/>
  <c r="Q144" i="166"/>
  <c r="M144" i="166"/>
  <c r="Q143" i="166"/>
  <c r="N143" i="166"/>
  <c r="M143" i="166"/>
  <c r="Q142" i="166"/>
  <c r="M142" i="166"/>
  <c r="Q141" i="166"/>
  <c r="M141" i="166"/>
  <c r="Q140" i="166"/>
  <c r="N140" i="166"/>
  <c r="M140" i="166"/>
  <c r="Q139" i="166"/>
  <c r="N139" i="166"/>
  <c r="M139" i="166"/>
  <c r="Q138" i="166"/>
  <c r="N138" i="166"/>
  <c r="M138" i="166"/>
  <c r="Q137" i="166"/>
  <c r="M137" i="166"/>
  <c r="Q136" i="166"/>
  <c r="M136" i="166"/>
  <c r="Q135" i="166"/>
  <c r="M135" i="166"/>
  <c r="Q134" i="166"/>
  <c r="N134" i="166"/>
  <c r="M134" i="166"/>
  <c r="Q133" i="166"/>
  <c r="M133" i="166"/>
  <c r="Q132" i="166"/>
  <c r="M132" i="166"/>
  <c r="Q131" i="166"/>
  <c r="M131" i="166"/>
  <c r="Q130" i="166"/>
  <c r="M130" i="166"/>
  <c r="Q129" i="166"/>
  <c r="N129" i="166"/>
  <c r="M129" i="166"/>
  <c r="Q128" i="166"/>
  <c r="N128" i="166"/>
  <c r="M128" i="166"/>
  <c r="Q127" i="166"/>
  <c r="M127" i="166"/>
  <c r="J127" i="166"/>
  <c r="Q126" i="166"/>
  <c r="M126" i="166"/>
  <c r="Q125" i="166"/>
  <c r="N125" i="166"/>
  <c r="M125" i="166"/>
  <c r="Q124" i="166"/>
  <c r="M124" i="166"/>
  <c r="Q123" i="166"/>
  <c r="M123" i="166"/>
  <c r="Q122" i="166"/>
  <c r="M122" i="166"/>
  <c r="Q121" i="166"/>
  <c r="M121" i="166"/>
  <c r="Q120" i="166"/>
  <c r="M120" i="166"/>
  <c r="Q119" i="166"/>
  <c r="M119" i="166"/>
  <c r="Q118" i="166"/>
  <c r="N118" i="166"/>
  <c r="M118" i="166"/>
  <c r="Q117" i="166"/>
  <c r="N117" i="166"/>
  <c r="M117" i="166"/>
  <c r="Q116" i="166"/>
  <c r="N116" i="166"/>
  <c r="M116" i="166"/>
  <c r="Q115" i="166"/>
  <c r="M115" i="166"/>
  <c r="Q114" i="166"/>
  <c r="N114" i="166"/>
  <c r="M114" i="166"/>
  <c r="Q113" i="166"/>
  <c r="N113" i="166"/>
  <c r="M113" i="166"/>
  <c r="Q112" i="166"/>
  <c r="M112" i="166"/>
  <c r="J112" i="166"/>
  <c r="Q111" i="166"/>
  <c r="M111" i="166"/>
  <c r="Q110" i="166"/>
  <c r="M110" i="166"/>
  <c r="Q109" i="166"/>
  <c r="M109" i="166"/>
  <c r="Q108" i="166"/>
  <c r="M108" i="166"/>
  <c r="Q107" i="166"/>
  <c r="N107" i="166"/>
  <c r="M107" i="166"/>
  <c r="Q106" i="166"/>
  <c r="M106" i="166"/>
  <c r="Q105" i="166"/>
  <c r="M105" i="166"/>
  <c r="Q104" i="166"/>
  <c r="N104" i="166"/>
  <c r="M104" i="166"/>
  <c r="Q103" i="166"/>
  <c r="N103" i="166"/>
  <c r="M103" i="166"/>
  <c r="Q102" i="166"/>
  <c r="M102" i="166"/>
  <c r="Q101" i="166"/>
  <c r="N101" i="166"/>
  <c r="M101" i="166"/>
  <c r="Q100" i="166"/>
  <c r="M100" i="166"/>
  <c r="M99" i="166"/>
  <c r="Q98" i="166"/>
  <c r="N98" i="166"/>
  <c r="M98" i="166"/>
  <c r="Q97" i="166"/>
  <c r="M97" i="166"/>
  <c r="Q96" i="166"/>
  <c r="N96" i="166"/>
  <c r="M96" i="166"/>
  <c r="Q95" i="166"/>
  <c r="M95" i="166"/>
  <c r="Q94" i="166"/>
  <c r="N94" i="166"/>
  <c r="M94" i="166"/>
  <c r="Q93" i="166"/>
  <c r="M93" i="166"/>
  <c r="Q92" i="166"/>
  <c r="M92" i="166"/>
  <c r="Q91" i="166"/>
  <c r="M91" i="166"/>
  <c r="Q90" i="166"/>
  <c r="N90" i="166"/>
  <c r="M90" i="166"/>
  <c r="Q89" i="166"/>
  <c r="M89" i="166"/>
  <c r="Q88" i="166"/>
  <c r="M88" i="166"/>
  <c r="Q87" i="166"/>
  <c r="M87" i="166"/>
  <c r="Q86" i="166"/>
  <c r="M86" i="166"/>
  <c r="Q85" i="166"/>
  <c r="M85" i="166"/>
  <c r="Q84" i="166"/>
  <c r="M84" i="166"/>
  <c r="Q83" i="166"/>
  <c r="N83" i="166"/>
  <c r="M83" i="166"/>
  <c r="Q82" i="166"/>
  <c r="M82" i="166"/>
  <c r="Q81" i="166"/>
  <c r="M81" i="166"/>
  <c r="Q80" i="166"/>
  <c r="N80" i="166"/>
  <c r="M80" i="166"/>
  <c r="J80" i="166"/>
  <c r="Q79" i="166"/>
  <c r="M79" i="166"/>
  <c r="Q78" i="166"/>
  <c r="M78" i="166"/>
  <c r="Q77" i="166"/>
  <c r="M77" i="166"/>
  <c r="Q76" i="166"/>
  <c r="N76" i="166"/>
  <c r="M76" i="166"/>
  <c r="Q75" i="166"/>
  <c r="M75" i="166"/>
  <c r="Q74" i="166"/>
  <c r="N74" i="166"/>
  <c r="M74" i="166"/>
  <c r="Q73" i="166"/>
  <c r="N73" i="166"/>
  <c r="M73" i="166"/>
  <c r="Q72" i="166"/>
  <c r="M72" i="166"/>
  <c r="Q71" i="166"/>
  <c r="M71" i="166"/>
  <c r="Q70" i="166"/>
  <c r="N70" i="166"/>
  <c r="M70" i="166"/>
  <c r="Q69" i="166"/>
  <c r="N69" i="166"/>
  <c r="M69" i="166"/>
  <c r="Q68" i="166"/>
  <c r="N68" i="166"/>
  <c r="M68" i="166"/>
  <c r="J68" i="166"/>
  <c r="Q67" i="166"/>
  <c r="M67" i="166"/>
  <c r="Q66" i="166"/>
  <c r="M66" i="166"/>
  <c r="Q65" i="166"/>
  <c r="M65" i="166"/>
  <c r="Q64" i="166"/>
  <c r="M64" i="166"/>
  <c r="Q63" i="166"/>
  <c r="M63" i="166"/>
  <c r="Q62" i="166"/>
  <c r="N62" i="166"/>
  <c r="M62" i="166"/>
  <c r="J62" i="166"/>
  <c r="Q61" i="166"/>
  <c r="M61" i="166"/>
  <c r="Q60" i="166"/>
  <c r="M60" i="166"/>
  <c r="Q59" i="166"/>
  <c r="M59" i="166"/>
  <c r="Q58" i="166"/>
  <c r="M58" i="166"/>
  <c r="Q57" i="166"/>
  <c r="M57" i="166"/>
  <c r="Q56" i="166"/>
  <c r="M56" i="166"/>
  <c r="Q55" i="166"/>
  <c r="M55" i="166"/>
  <c r="Q54" i="166"/>
  <c r="M54" i="166"/>
  <c r="Q53" i="166"/>
  <c r="M53" i="166"/>
  <c r="Q52" i="166"/>
  <c r="M52" i="166"/>
  <c r="Q51" i="166"/>
  <c r="M51" i="166"/>
  <c r="Q50" i="166"/>
  <c r="M50" i="166"/>
  <c r="Q49" i="166"/>
  <c r="M49" i="166"/>
  <c r="Q48" i="166"/>
  <c r="N48" i="166"/>
  <c r="M48" i="166"/>
  <c r="Q47" i="166"/>
  <c r="M47" i="166"/>
  <c r="Q46" i="166"/>
  <c r="N46" i="166"/>
  <c r="M46" i="166"/>
  <c r="Q45" i="166"/>
  <c r="M45" i="166"/>
  <c r="Q44" i="166"/>
  <c r="M44" i="166"/>
  <c r="Q43" i="166"/>
  <c r="M43" i="166"/>
  <c r="Q42" i="166"/>
  <c r="N42" i="166"/>
  <c r="M42" i="166"/>
  <c r="Q41" i="166"/>
  <c r="N41" i="166"/>
  <c r="M41" i="166"/>
  <c r="Q40" i="166"/>
  <c r="M40" i="166"/>
  <c r="Q39" i="166"/>
  <c r="M39" i="166"/>
  <c r="Q38" i="166"/>
  <c r="M38" i="166"/>
  <c r="Q37" i="166"/>
  <c r="N37" i="166"/>
  <c r="M37" i="166"/>
  <c r="Q36" i="166"/>
  <c r="M36" i="166"/>
  <c r="Q35" i="166"/>
  <c r="M35" i="166"/>
  <c r="Q34" i="166"/>
  <c r="M34" i="166"/>
  <c r="Q33" i="166"/>
  <c r="N33" i="166"/>
  <c r="M33" i="166"/>
  <c r="Q32" i="166"/>
  <c r="M32" i="166"/>
  <c r="Q31" i="166"/>
  <c r="N31" i="166"/>
  <c r="M31" i="166"/>
  <c r="Q30" i="166"/>
  <c r="M30" i="166"/>
  <c r="Q29" i="166"/>
  <c r="M29" i="166"/>
  <c r="Q28" i="166"/>
  <c r="M28" i="166"/>
  <c r="Q27" i="166"/>
  <c r="M27" i="166"/>
  <c r="Q26" i="166"/>
  <c r="N26" i="166"/>
  <c r="M26" i="166"/>
  <c r="Q25" i="166"/>
  <c r="N25" i="166"/>
  <c r="M25" i="166"/>
  <c r="N24" i="166"/>
  <c r="M24" i="166"/>
  <c r="Q23" i="166"/>
  <c r="M23" i="166"/>
  <c r="Q22" i="166"/>
  <c r="M22" i="166"/>
  <c r="Q21" i="166"/>
  <c r="M21" i="166"/>
  <c r="Q20" i="166"/>
  <c r="N20" i="166"/>
  <c r="M20" i="166"/>
  <c r="Q19" i="166"/>
  <c r="M19" i="166"/>
  <c r="J19" i="166"/>
  <c r="Q18" i="166"/>
  <c r="M18" i="166"/>
  <c r="Q17" i="166"/>
  <c r="N17" i="166"/>
  <c r="M17" i="166"/>
  <c r="Q16" i="166"/>
  <c r="M16" i="166"/>
  <c r="Q15" i="166"/>
  <c r="M15" i="166"/>
  <c r="Q14" i="166"/>
  <c r="M14" i="166"/>
  <c r="Q13" i="166"/>
  <c r="M13" i="166"/>
  <c r="J13" i="166"/>
  <c r="Q12" i="166"/>
  <c r="N12" i="166"/>
  <c r="M12" i="166"/>
  <c r="Q11" i="166"/>
  <c r="M11" i="166"/>
  <c r="Q10" i="166"/>
  <c r="M10" i="166"/>
  <c r="B9" i="166"/>
  <c r="C9" i="166" s="1"/>
  <c r="D9" i="166" s="1"/>
  <c r="E9" i="166" s="1"/>
  <c r="F9" i="166" s="1"/>
  <c r="G9" i="166" s="1"/>
  <c r="H9" i="166" s="1"/>
  <c r="I9" i="166" s="1"/>
  <c r="J9" i="166" s="1"/>
  <c r="K9" i="166" s="1"/>
  <c r="L9" i="166" s="1"/>
  <c r="M9" i="166" s="1"/>
  <c r="N9" i="166" s="1"/>
  <c r="O9" i="166" s="1"/>
  <c r="P9" i="166" s="1"/>
  <c r="Q9" i="166" s="1"/>
  <c r="N195" i="166" l="1"/>
  <c r="J195" i="166"/>
  <c r="M195" i="166"/>
  <c r="Q195" i="166"/>
  <c r="N191" i="165"/>
  <c r="N189" i="165"/>
  <c r="N180" i="165"/>
  <c r="N177" i="165"/>
  <c r="N151" i="165"/>
  <c r="N143" i="165"/>
  <c r="N139" i="165"/>
  <c r="N128" i="165"/>
  <c r="N113" i="165"/>
  <c r="N74" i="165"/>
  <c r="N31" i="165"/>
  <c r="N118" i="165" l="1"/>
  <c r="N172" i="165"/>
  <c r="N104" i="165"/>
  <c r="N70" i="165"/>
  <c r="N34" i="165"/>
  <c r="N75" i="165" l="1"/>
  <c r="N46" i="165"/>
  <c r="N39" i="165"/>
  <c r="N37" i="165"/>
  <c r="N12" i="165"/>
  <c r="N194" i="165"/>
  <c r="N193" i="165"/>
  <c r="J193" i="165"/>
  <c r="N190" i="165"/>
  <c r="N183" i="165"/>
  <c r="N176" i="165"/>
  <c r="N152" i="165"/>
  <c r="J152" i="165"/>
  <c r="N145" i="165"/>
  <c r="N142" i="165"/>
  <c r="N138" i="165"/>
  <c r="N127" i="165"/>
  <c r="J127" i="165"/>
  <c r="N125" i="165"/>
  <c r="N112" i="165"/>
  <c r="J112" i="165"/>
  <c r="N96" i="165"/>
  <c r="N80" i="165"/>
  <c r="J80" i="165"/>
  <c r="N78" i="165"/>
  <c r="N68" i="165"/>
  <c r="J68" i="165"/>
  <c r="N62" i="165"/>
  <c r="J62" i="165"/>
  <c r="N26" i="165"/>
  <c r="N24" i="165"/>
  <c r="N22" i="165"/>
  <c r="J19" i="165"/>
  <c r="J13" i="165"/>
  <c r="P195" i="165"/>
  <c r="O195" i="165"/>
  <c r="L195" i="165"/>
  <c r="K195" i="165"/>
  <c r="I195" i="165"/>
  <c r="H195" i="165"/>
  <c r="Q194" i="165"/>
  <c r="M194" i="165"/>
  <c r="M193" i="165"/>
  <c r="Q192" i="165"/>
  <c r="M192" i="165"/>
  <c r="Q191" i="165"/>
  <c r="M191" i="165"/>
  <c r="Q190" i="165"/>
  <c r="M190" i="165"/>
  <c r="Q189" i="165"/>
  <c r="M189" i="165"/>
  <c r="Q188" i="165"/>
  <c r="M188" i="165"/>
  <c r="Q187" i="165"/>
  <c r="M187" i="165"/>
  <c r="Q186" i="165"/>
  <c r="N186" i="165"/>
  <c r="M186" i="165"/>
  <c r="Q185" i="165"/>
  <c r="M185" i="165"/>
  <c r="Q184" i="165"/>
  <c r="N184" i="165"/>
  <c r="M184" i="165"/>
  <c r="Q183" i="165"/>
  <c r="M183" i="165"/>
  <c r="Q182" i="165"/>
  <c r="M182" i="165"/>
  <c r="Q181" i="165"/>
  <c r="N181" i="165"/>
  <c r="M181" i="165"/>
  <c r="Q180" i="165"/>
  <c r="M180" i="165"/>
  <c r="M179" i="165"/>
  <c r="M178" i="165"/>
  <c r="Q177" i="165"/>
  <c r="M177" i="165"/>
  <c r="Q176" i="165"/>
  <c r="M176" i="165"/>
  <c r="J176" i="165"/>
  <c r="Q175" i="165"/>
  <c r="M175" i="165"/>
  <c r="Q174" i="165"/>
  <c r="M174" i="165"/>
  <c r="M173" i="165"/>
  <c r="Q172" i="165"/>
  <c r="M172" i="165"/>
  <c r="Q171" i="165"/>
  <c r="N171" i="165"/>
  <c r="M171" i="165"/>
  <c r="Q170" i="165"/>
  <c r="M170" i="165"/>
  <c r="Q169" i="165"/>
  <c r="M169" i="165"/>
  <c r="Q168" i="165"/>
  <c r="M168" i="165"/>
  <c r="Q167" i="165"/>
  <c r="N167" i="165"/>
  <c r="M167" i="165"/>
  <c r="Q165" i="165"/>
  <c r="M165" i="165"/>
  <c r="Q164" i="165"/>
  <c r="M164" i="165"/>
  <c r="M163" i="165"/>
  <c r="Q162" i="165"/>
  <c r="M162" i="165"/>
  <c r="Q161" i="165"/>
  <c r="N161" i="165"/>
  <c r="M161" i="165"/>
  <c r="Q160" i="165"/>
  <c r="M160" i="165"/>
  <c r="Q159" i="165"/>
  <c r="M159" i="165"/>
  <c r="Q158" i="165"/>
  <c r="M158" i="165"/>
  <c r="Q157" i="165"/>
  <c r="N157" i="165"/>
  <c r="M157" i="165"/>
  <c r="Q156" i="165"/>
  <c r="M156" i="165"/>
  <c r="Q155" i="165"/>
  <c r="M155" i="165"/>
  <c r="Q154" i="165"/>
  <c r="N154" i="165"/>
  <c r="M154" i="165"/>
  <c r="M153" i="165"/>
  <c r="M152" i="165"/>
  <c r="Q151" i="165"/>
  <c r="M151" i="165"/>
  <c r="Q150" i="165"/>
  <c r="M150" i="165"/>
  <c r="M149" i="165"/>
  <c r="Q148" i="165"/>
  <c r="M148" i="165"/>
  <c r="M147" i="165"/>
  <c r="Q146" i="165"/>
  <c r="M146" i="165"/>
  <c r="Q145" i="165"/>
  <c r="M145" i="165"/>
  <c r="Q144" i="165"/>
  <c r="M144" i="165"/>
  <c r="Q143" i="165"/>
  <c r="M143" i="165"/>
  <c r="Q142" i="165"/>
  <c r="M142" i="165"/>
  <c r="Q141" i="165"/>
  <c r="M141" i="165"/>
  <c r="Q140" i="165"/>
  <c r="N140" i="165"/>
  <c r="M140" i="165"/>
  <c r="Q139" i="165"/>
  <c r="M139" i="165"/>
  <c r="Q138" i="165"/>
  <c r="M138" i="165"/>
  <c r="Q137" i="165"/>
  <c r="M137" i="165"/>
  <c r="Q136" i="165"/>
  <c r="M136" i="165"/>
  <c r="Q135" i="165"/>
  <c r="M135" i="165"/>
  <c r="Q134" i="165"/>
  <c r="N134" i="165"/>
  <c r="M134" i="165"/>
  <c r="Q133" i="165"/>
  <c r="M133" i="165"/>
  <c r="Q132" i="165"/>
  <c r="M132" i="165"/>
  <c r="Q131" i="165"/>
  <c r="M131" i="165"/>
  <c r="Q130" i="165"/>
  <c r="M130" i="165"/>
  <c r="Q129" i="165"/>
  <c r="N129" i="165"/>
  <c r="M129" i="165"/>
  <c r="Q128" i="165"/>
  <c r="M128" i="165"/>
  <c r="Q127" i="165"/>
  <c r="M127" i="165"/>
  <c r="Q126" i="165"/>
  <c r="M126" i="165"/>
  <c r="Q125" i="165"/>
  <c r="M125" i="165"/>
  <c r="Q124" i="165"/>
  <c r="M124" i="165"/>
  <c r="Q123" i="165"/>
  <c r="M123" i="165"/>
  <c r="Q122" i="165"/>
  <c r="M122" i="165"/>
  <c r="Q121" i="165"/>
  <c r="M121" i="165"/>
  <c r="Q120" i="165"/>
  <c r="M120" i="165"/>
  <c r="Q119" i="165"/>
  <c r="N119" i="165"/>
  <c r="M119" i="165"/>
  <c r="Q118" i="165"/>
  <c r="M118" i="165"/>
  <c r="Q117" i="165"/>
  <c r="N117" i="165"/>
  <c r="M117" i="165"/>
  <c r="Q116" i="165"/>
  <c r="N116" i="165"/>
  <c r="M116" i="165"/>
  <c r="Q115" i="165"/>
  <c r="M115" i="165"/>
  <c r="Q114" i="165"/>
  <c r="N114" i="165"/>
  <c r="M114" i="165"/>
  <c r="Q113" i="165"/>
  <c r="M113" i="165"/>
  <c r="Q112" i="165"/>
  <c r="M112" i="165"/>
  <c r="Q111" i="165"/>
  <c r="M111" i="165"/>
  <c r="Q110" i="165"/>
  <c r="M110" i="165"/>
  <c r="Q109" i="165"/>
  <c r="M109" i="165"/>
  <c r="Q108" i="165"/>
  <c r="M108" i="165"/>
  <c r="Q107" i="165"/>
  <c r="N107" i="165"/>
  <c r="M107" i="165"/>
  <c r="Q106" i="165"/>
  <c r="M106" i="165"/>
  <c r="Q105" i="165"/>
  <c r="N105" i="165"/>
  <c r="M105" i="165"/>
  <c r="Q104" i="165"/>
  <c r="M104" i="165"/>
  <c r="Q103" i="165"/>
  <c r="N103" i="165"/>
  <c r="M103" i="165"/>
  <c r="Q102" i="165"/>
  <c r="M102" i="165"/>
  <c r="Q101" i="165"/>
  <c r="N101" i="165"/>
  <c r="M101" i="165"/>
  <c r="Q100" i="165"/>
  <c r="M100" i="165"/>
  <c r="M99" i="165"/>
  <c r="Q98" i="165"/>
  <c r="N98" i="165"/>
  <c r="M98" i="165"/>
  <c r="Q97" i="165"/>
  <c r="M97" i="165"/>
  <c r="Q96" i="165"/>
  <c r="M96" i="165"/>
  <c r="Q95" i="165"/>
  <c r="M95" i="165"/>
  <c r="Q94" i="165"/>
  <c r="N94" i="165"/>
  <c r="M94" i="165"/>
  <c r="Q93" i="165"/>
  <c r="M93" i="165"/>
  <c r="Q92" i="165"/>
  <c r="M92" i="165"/>
  <c r="Q91" i="165"/>
  <c r="M91" i="165"/>
  <c r="Q90" i="165"/>
  <c r="N90" i="165"/>
  <c r="M90" i="165"/>
  <c r="Q89" i="165"/>
  <c r="M89" i="165"/>
  <c r="Q88" i="165"/>
  <c r="M88" i="165"/>
  <c r="Q87" i="165"/>
  <c r="M87" i="165"/>
  <c r="Q86" i="165"/>
  <c r="N86" i="165"/>
  <c r="M86" i="165"/>
  <c r="Q85" i="165"/>
  <c r="M85" i="165"/>
  <c r="Q84" i="165"/>
  <c r="M84" i="165"/>
  <c r="Q83" i="165"/>
  <c r="N83" i="165"/>
  <c r="M83" i="165"/>
  <c r="Q82" i="165"/>
  <c r="M82" i="165"/>
  <c r="Q81" i="165"/>
  <c r="M81" i="165"/>
  <c r="Q80" i="165"/>
  <c r="M80" i="165"/>
  <c r="Q79" i="165"/>
  <c r="M79" i="165"/>
  <c r="Q78" i="165"/>
  <c r="M78" i="165"/>
  <c r="Q77" i="165"/>
  <c r="M77" i="165"/>
  <c r="Q76" i="165"/>
  <c r="N76" i="165"/>
  <c r="M76" i="165"/>
  <c r="Q75" i="165"/>
  <c r="M75" i="165"/>
  <c r="Q74" i="165"/>
  <c r="M74" i="165"/>
  <c r="Q73" i="165"/>
  <c r="N73" i="165"/>
  <c r="M73" i="165"/>
  <c r="Q72" i="165"/>
  <c r="M72" i="165"/>
  <c r="Q71" i="165"/>
  <c r="M71" i="165"/>
  <c r="Q70" i="165"/>
  <c r="M70" i="165"/>
  <c r="Q69" i="165"/>
  <c r="N69" i="165"/>
  <c r="M69" i="165"/>
  <c r="Q68" i="165"/>
  <c r="M68" i="165"/>
  <c r="Q67" i="165"/>
  <c r="M67" i="165"/>
  <c r="Q66" i="165"/>
  <c r="M66" i="165"/>
  <c r="Q65" i="165"/>
  <c r="M65" i="165"/>
  <c r="Q64" i="165"/>
  <c r="M64" i="165"/>
  <c r="Q63" i="165"/>
  <c r="M63" i="165"/>
  <c r="Q62" i="165"/>
  <c r="M62" i="165"/>
  <c r="Q61" i="165"/>
  <c r="M61" i="165"/>
  <c r="Q60" i="165"/>
  <c r="M60" i="165"/>
  <c r="Q59" i="165"/>
  <c r="M59" i="165"/>
  <c r="Q58" i="165"/>
  <c r="M58" i="165"/>
  <c r="Q57" i="165"/>
  <c r="N57" i="165"/>
  <c r="M57" i="165"/>
  <c r="Q56" i="165"/>
  <c r="M56" i="165"/>
  <c r="Q55" i="165"/>
  <c r="M55" i="165"/>
  <c r="Q54" i="165"/>
  <c r="M54" i="165"/>
  <c r="Q53" i="165"/>
  <c r="M53" i="165"/>
  <c r="Q52" i="165"/>
  <c r="M52" i="165"/>
  <c r="Q51" i="165"/>
  <c r="M51" i="165"/>
  <c r="Q50" i="165"/>
  <c r="M50" i="165"/>
  <c r="Q49" i="165"/>
  <c r="M49" i="165"/>
  <c r="Q48" i="165"/>
  <c r="N48" i="165"/>
  <c r="M48" i="165"/>
  <c r="Q47" i="165"/>
  <c r="M47" i="165"/>
  <c r="Q46" i="165"/>
  <c r="M46" i="165"/>
  <c r="Q45" i="165"/>
  <c r="M45" i="165"/>
  <c r="Q44" i="165"/>
  <c r="M44" i="165"/>
  <c r="Q43" i="165"/>
  <c r="M43" i="165"/>
  <c r="Q42" i="165"/>
  <c r="N42" i="165"/>
  <c r="M42" i="165"/>
  <c r="Q41" i="165"/>
  <c r="N41" i="165"/>
  <c r="M41" i="165"/>
  <c r="Q40" i="165"/>
  <c r="M40" i="165"/>
  <c r="Q39" i="165"/>
  <c r="M39" i="165"/>
  <c r="Q38" i="165"/>
  <c r="M38" i="165"/>
  <c r="Q37" i="165"/>
  <c r="M37" i="165"/>
  <c r="Q36" i="165"/>
  <c r="M36" i="165"/>
  <c r="Q35" i="165"/>
  <c r="N35" i="165"/>
  <c r="M35" i="165"/>
  <c r="Q34" i="165"/>
  <c r="M34" i="165"/>
  <c r="Q33" i="165"/>
  <c r="N33" i="165"/>
  <c r="M33" i="165"/>
  <c r="Q32" i="165"/>
  <c r="M32" i="165"/>
  <c r="Q31" i="165"/>
  <c r="M31" i="165"/>
  <c r="Q30" i="165"/>
  <c r="M30" i="165"/>
  <c r="Q29" i="165"/>
  <c r="N29" i="165"/>
  <c r="M29" i="165"/>
  <c r="Q28" i="165"/>
  <c r="M28" i="165"/>
  <c r="Q27" i="165"/>
  <c r="M27" i="165"/>
  <c r="Q26" i="165"/>
  <c r="M26" i="165"/>
  <c r="Q25" i="165"/>
  <c r="N25" i="165"/>
  <c r="M25" i="165"/>
  <c r="M24" i="165"/>
  <c r="Q23" i="165"/>
  <c r="M23" i="165"/>
  <c r="Q22" i="165"/>
  <c r="M22" i="165"/>
  <c r="Q21" i="165"/>
  <c r="M21" i="165"/>
  <c r="Q20" i="165"/>
  <c r="N20" i="165"/>
  <c r="M20" i="165"/>
  <c r="Q19" i="165"/>
  <c r="N19" i="165"/>
  <c r="M19" i="165"/>
  <c r="Q18" i="165"/>
  <c r="M18" i="165"/>
  <c r="Q17" i="165"/>
  <c r="N17" i="165"/>
  <c r="M17" i="165"/>
  <c r="Q16" i="165"/>
  <c r="M16" i="165"/>
  <c r="Q15" i="165"/>
  <c r="M15" i="165"/>
  <c r="Q14" i="165"/>
  <c r="M14" i="165"/>
  <c r="Q13" i="165"/>
  <c r="M13" i="165"/>
  <c r="Q12" i="165"/>
  <c r="M12" i="165"/>
  <c r="Q11" i="165"/>
  <c r="M11" i="165"/>
  <c r="Q10" i="165"/>
  <c r="M10" i="165"/>
  <c r="B9" i="165"/>
  <c r="C9" i="165" s="1"/>
  <c r="D9" i="165" s="1"/>
  <c r="E9" i="165" s="1"/>
  <c r="F9" i="165" s="1"/>
  <c r="G9" i="165" s="1"/>
  <c r="H9" i="165" s="1"/>
  <c r="I9" i="165" s="1"/>
  <c r="J9" i="165" s="1"/>
  <c r="K9" i="165" s="1"/>
  <c r="L9" i="165" s="1"/>
  <c r="M9" i="165" s="1"/>
  <c r="N9" i="165" s="1"/>
  <c r="O9" i="165" s="1"/>
  <c r="P9" i="165" s="1"/>
  <c r="Q9" i="165" s="1"/>
  <c r="J195" i="165" l="1"/>
  <c r="M195" i="165"/>
  <c r="Q195" i="165"/>
  <c r="N195" i="165"/>
  <c r="N183" i="164"/>
  <c r="N181" i="164"/>
  <c r="N176" i="164"/>
  <c r="J176" i="164"/>
  <c r="N171" i="164"/>
  <c r="N157" i="164"/>
  <c r="N140" i="164"/>
  <c r="N138" i="164"/>
  <c r="N117" i="164"/>
  <c r="N103" i="164"/>
  <c r="N98" i="164"/>
  <c r="N94" i="164"/>
  <c r="N90" i="164"/>
  <c r="N86" i="164"/>
  <c r="J80" i="164"/>
  <c r="N80" i="164"/>
  <c r="N73" i="164"/>
  <c r="N35" i="164"/>
  <c r="N26" i="164"/>
  <c r="N20" i="164"/>
  <c r="N19" i="164"/>
  <c r="P195" i="164"/>
  <c r="O195" i="164"/>
  <c r="L195" i="164"/>
  <c r="K195" i="164"/>
  <c r="I195" i="164"/>
  <c r="H195" i="164"/>
  <c r="Q194" i="164"/>
  <c r="N194" i="164"/>
  <c r="M194" i="164"/>
  <c r="N193" i="164"/>
  <c r="M193" i="164"/>
  <c r="Q192" i="164"/>
  <c r="M192" i="164"/>
  <c r="Q191" i="164"/>
  <c r="M191" i="164"/>
  <c r="Q190" i="164"/>
  <c r="M190" i="164"/>
  <c r="Q189" i="164"/>
  <c r="M189" i="164"/>
  <c r="Q188" i="164"/>
  <c r="M188" i="164"/>
  <c r="Q187" i="164"/>
  <c r="M187" i="164"/>
  <c r="Q186" i="164"/>
  <c r="N186" i="164"/>
  <c r="M186" i="164"/>
  <c r="Q185" i="164"/>
  <c r="M185" i="164"/>
  <c r="Q184" i="164"/>
  <c r="N184" i="164"/>
  <c r="M184" i="164"/>
  <c r="Q183" i="164"/>
  <c r="M183" i="164"/>
  <c r="Q182" i="164"/>
  <c r="M182" i="164"/>
  <c r="Q181" i="164"/>
  <c r="M181" i="164"/>
  <c r="Q180" i="164"/>
  <c r="M180" i="164"/>
  <c r="M179" i="164"/>
  <c r="M178" i="164"/>
  <c r="Q177" i="164"/>
  <c r="M177" i="164"/>
  <c r="Q176" i="164"/>
  <c r="M176" i="164"/>
  <c r="Q175" i="164"/>
  <c r="M175" i="164"/>
  <c r="Q174" i="164"/>
  <c r="M174" i="164"/>
  <c r="M173" i="164"/>
  <c r="Q172" i="164"/>
  <c r="M172" i="164"/>
  <c r="Q171" i="164"/>
  <c r="M171" i="164"/>
  <c r="Q170" i="164"/>
  <c r="M170" i="164"/>
  <c r="Q169" i="164"/>
  <c r="M169" i="164"/>
  <c r="Q168" i="164"/>
  <c r="M168" i="164"/>
  <c r="Q167" i="164"/>
  <c r="N167" i="164"/>
  <c r="M167" i="164"/>
  <c r="Q165" i="164"/>
  <c r="M165" i="164"/>
  <c r="Q164" i="164"/>
  <c r="M164" i="164"/>
  <c r="M163" i="164"/>
  <c r="Q162" i="164"/>
  <c r="M162" i="164"/>
  <c r="Q161" i="164"/>
  <c r="N161" i="164"/>
  <c r="M161" i="164"/>
  <c r="Q160" i="164"/>
  <c r="M160" i="164"/>
  <c r="Q159" i="164"/>
  <c r="M159" i="164"/>
  <c r="Q158" i="164"/>
  <c r="M158" i="164"/>
  <c r="Q157" i="164"/>
  <c r="M157" i="164"/>
  <c r="Q156" i="164"/>
  <c r="M156" i="164"/>
  <c r="Q155" i="164"/>
  <c r="M155" i="164"/>
  <c r="Q154" i="164"/>
  <c r="N154" i="164"/>
  <c r="M154" i="164"/>
  <c r="M153" i="164"/>
  <c r="M152" i="164"/>
  <c r="Q151" i="164"/>
  <c r="M151" i="164"/>
  <c r="Q150" i="164"/>
  <c r="M150" i="164"/>
  <c r="M149" i="164"/>
  <c r="Q148" i="164"/>
  <c r="M148" i="164"/>
  <c r="M147" i="164"/>
  <c r="Q146" i="164"/>
  <c r="M146" i="164"/>
  <c r="Q145" i="164"/>
  <c r="M145" i="164"/>
  <c r="Q144" i="164"/>
  <c r="M144" i="164"/>
  <c r="Q143" i="164"/>
  <c r="M143" i="164"/>
  <c r="Q142" i="164"/>
  <c r="M142" i="164"/>
  <c r="Q141" i="164"/>
  <c r="M141" i="164"/>
  <c r="Q140" i="164"/>
  <c r="M140" i="164"/>
  <c r="Q139" i="164"/>
  <c r="M139" i="164"/>
  <c r="Q138" i="164"/>
  <c r="M138" i="164"/>
  <c r="Q137" i="164"/>
  <c r="M137" i="164"/>
  <c r="Q136" i="164"/>
  <c r="M136" i="164"/>
  <c r="Q135" i="164"/>
  <c r="M135" i="164"/>
  <c r="Q134" i="164"/>
  <c r="N134" i="164"/>
  <c r="M134" i="164"/>
  <c r="Q133" i="164"/>
  <c r="M133" i="164"/>
  <c r="Q132" i="164"/>
  <c r="M132" i="164"/>
  <c r="Q131" i="164"/>
  <c r="M131" i="164"/>
  <c r="Q130" i="164"/>
  <c r="M130" i="164"/>
  <c r="Q129" i="164"/>
  <c r="N129" i="164"/>
  <c r="M129" i="164"/>
  <c r="Q128" i="164"/>
  <c r="M128" i="164"/>
  <c r="Q127" i="164"/>
  <c r="N127" i="164"/>
  <c r="M127" i="164"/>
  <c r="Q126" i="164"/>
  <c r="M126" i="164"/>
  <c r="Q125" i="164"/>
  <c r="N125" i="164"/>
  <c r="M125" i="164"/>
  <c r="Q124" i="164"/>
  <c r="M124" i="164"/>
  <c r="Q123" i="164"/>
  <c r="M123" i="164"/>
  <c r="Q122" i="164"/>
  <c r="M122" i="164"/>
  <c r="Q121" i="164"/>
  <c r="M121" i="164"/>
  <c r="Q120" i="164"/>
  <c r="M120" i="164"/>
  <c r="Q119" i="164"/>
  <c r="N119" i="164"/>
  <c r="M119" i="164"/>
  <c r="Q118" i="164"/>
  <c r="M118" i="164"/>
  <c r="Q117" i="164"/>
  <c r="M117" i="164"/>
  <c r="Q116" i="164"/>
  <c r="N116" i="164"/>
  <c r="M116" i="164"/>
  <c r="Q115" i="164"/>
  <c r="M115" i="164"/>
  <c r="Q114" i="164"/>
  <c r="N114" i="164"/>
  <c r="M114" i="164"/>
  <c r="Q113" i="164"/>
  <c r="M113" i="164"/>
  <c r="Q112" i="164"/>
  <c r="M112" i="164"/>
  <c r="Q111" i="164"/>
  <c r="M111" i="164"/>
  <c r="Q110" i="164"/>
  <c r="M110" i="164"/>
  <c r="Q109" i="164"/>
  <c r="M109" i="164"/>
  <c r="Q108" i="164"/>
  <c r="M108" i="164"/>
  <c r="Q107" i="164"/>
  <c r="N107" i="164"/>
  <c r="M107" i="164"/>
  <c r="Q106" i="164"/>
  <c r="M106" i="164"/>
  <c r="Q105" i="164"/>
  <c r="N105" i="164"/>
  <c r="M105" i="164"/>
  <c r="Q104" i="164"/>
  <c r="M104" i="164"/>
  <c r="Q103" i="164"/>
  <c r="M103" i="164"/>
  <c r="Q102" i="164"/>
  <c r="M102" i="164"/>
  <c r="Q101" i="164"/>
  <c r="N101" i="164"/>
  <c r="M101" i="164"/>
  <c r="Q100" i="164"/>
  <c r="M100" i="164"/>
  <c r="M99" i="164"/>
  <c r="Q98" i="164"/>
  <c r="M98" i="164"/>
  <c r="Q97" i="164"/>
  <c r="M97" i="164"/>
  <c r="Q96" i="164"/>
  <c r="N96" i="164"/>
  <c r="M96" i="164"/>
  <c r="Q95" i="164"/>
  <c r="M95" i="164"/>
  <c r="Q94" i="164"/>
  <c r="M94" i="164"/>
  <c r="Q93" i="164"/>
  <c r="M93" i="164"/>
  <c r="Q92" i="164"/>
  <c r="M92" i="164"/>
  <c r="Q91" i="164"/>
  <c r="M91" i="164"/>
  <c r="Q90" i="164"/>
  <c r="M90" i="164"/>
  <c r="Q89" i="164"/>
  <c r="M89" i="164"/>
  <c r="Q88" i="164"/>
  <c r="M88" i="164"/>
  <c r="Q87" i="164"/>
  <c r="M87" i="164"/>
  <c r="Q86" i="164"/>
  <c r="M86" i="164"/>
  <c r="Q85" i="164"/>
  <c r="M85" i="164"/>
  <c r="Q84" i="164"/>
  <c r="M84" i="164"/>
  <c r="Q83" i="164"/>
  <c r="N83" i="164"/>
  <c r="M83" i="164"/>
  <c r="Q82" i="164"/>
  <c r="M82" i="164"/>
  <c r="Q81" i="164"/>
  <c r="M81" i="164"/>
  <c r="Q80" i="164"/>
  <c r="M80" i="164"/>
  <c r="Q79" i="164"/>
  <c r="M79" i="164"/>
  <c r="Q78" i="164"/>
  <c r="N78" i="164"/>
  <c r="M78" i="164"/>
  <c r="Q77" i="164"/>
  <c r="M77" i="164"/>
  <c r="Q76" i="164"/>
  <c r="N76" i="164"/>
  <c r="M76" i="164"/>
  <c r="Q75" i="164"/>
  <c r="M75" i="164"/>
  <c r="Q74" i="164"/>
  <c r="M74" i="164"/>
  <c r="Q73" i="164"/>
  <c r="M73" i="164"/>
  <c r="Q72" i="164"/>
  <c r="M72" i="164"/>
  <c r="Q71" i="164"/>
  <c r="M71" i="164"/>
  <c r="Q70" i="164"/>
  <c r="M70" i="164"/>
  <c r="Q69" i="164"/>
  <c r="N69" i="164"/>
  <c r="M69" i="164"/>
  <c r="Q68" i="164"/>
  <c r="N68" i="164"/>
  <c r="M68" i="164"/>
  <c r="Q67" i="164"/>
  <c r="M67" i="164"/>
  <c r="Q66" i="164"/>
  <c r="M66" i="164"/>
  <c r="Q65" i="164"/>
  <c r="M65" i="164"/>
  <c r="Q64" i="164"/>
  <c r="M64" i="164"/>
  <c r="Q63" i="164"/>
  <c r="M63" i="164"/>
  <c r="Q62" i="164"/>
  <c r="N62" i="164"/>
  <c r="M62" i="164"/>
  <c r="Q61" i="164"/>
  <c r="M61" i="164"/>
  <c r="Q60" i="164"/>
  <c r="M60" i="164"/>
  <c r="Q59" i="164"/>
  <c r="M59" i="164"/>
  <c r="Q58" i="164"/>
  <c r="M58" i="164"/>
  <c r="Q57" i="164"/>
  <c r="N57" i="164"/>
  <c r="M57" i="164"/>
  <c r="Q56" i="164"/>
  <c r="M56" i="164"/>
  <c r="Q55" i="164"/>
  <c r="M55" i="164"/>
  <c r="Q54" i="164"/>
  <c r="M54" i="164"/>
  <c r="Q53" i="164"/>
  <c r="M53" i="164"/>
  <c r="Q52" i="164"/>
  <c r="M52" i="164"/>
  <c r="Q51" i="164"/>
  <c r="M51" i="164"/>
  <c r="Q50" i="164"/>
  <c r="M50" i="164"/>
  <c r="Q49" i="164"/>
  <c r="M49" i="164"/>
  <c r="Q48" i="164"/>
  <c r="N48" i="164"/>
  <c r="M48" i="164"/>
  <c r="Q47" i="164"/>
  <c r="M47" i="164"/>
  <c r="Q46" i="164"/>
  <c r="N46" i="164"/>
  <c r="M46" i="164"/>
  <c r="Q45" i="164"/>
  <c r="M45" i="164"/>
  <c r="Q44" i="164"/>
  <c r="M44" i="164"/>
  <c r="Q43" i="164"/>
  <c r="M43" i="164"/>
  <c r="Q42" i="164"/>
  <c r="N42" i="164"/>
  <c r="M42" i="164"/>
  <c r="Q41" i="164"/>
  <c r="N41" i="164"/>
  <c r="M41" i="164"/>
  <c r="Q40" i="164"/>
  <c r="M40" i="164"/>
  <c r="Q39" i="164"/>
  <c r="M39" i="164"/>
  <c r="Q38" i="164"/>
  <c r="M38" i="164"/>
  <c r="Q37" i="164"/>
  <c r="M37" i="164"/>
  <c r="Q36" i="164"/>
  <c r="M36" i="164"/>
  <c r="Q35" i="164"/>
  <c r="M35" i="164"/>
  <c r="Q34" i="164"/>
  <c r="M34" i="164"/>
  <c r="Q33" i="164"/>
  <c r="N33" i="164"/>
  <c r="M33" i="164"/>
  <c r="Q32" i="164"/>
  <c r="M32" i="164"/>
  <c r="Q31" i="164"/>
  <c r="M31" i="164"/>
  <c r="Q30" i="164"/>
  <c r="M30" i="164"/>
  <c r="Q29" i="164"/>
  <c r="N29" i="164"/>
  <c r="M29" i="164"/>
  <c r="Q28" i="164"/>
  <c r="M28" i="164"/>
  <c r="Q27" i="164"/>
  <c r="M27" i="164"/>
  <c r="Q26" i="164"/>
  <c r="M26" i="164"/>
  <c r="Q25" i="164"/>
  <c r="N25" i="164"/>
  <c r="M25" i="164"/>
  <c r="M24" i="164"/>
  <c r="Q23" i="164"/>
  <c r="M23" i="164"/>
  <c r="Q22" i="164"/>
  <c r="M22" i="164"/>
  <c r="Q21" i="164"/>
  <c r="M21" i="164"/>
  <c r="Q20" i="164"/>
  <c r="M20" i="164"/>
  <c r="Q19" i="164"/>
  <c r="M19" i="164"/>
  <c r="Q18" i="164"/>
  <c r="M18" i="164"/>
  <c r="Q17" i="164"/>
  <c r="N17" i="164"/>
  <c r="M17" i="164"/>
  <c r="Q16" i="164"/>
  <c r="M16" i="164"/>
  <c r="Q15" i="164"/>
  <c r="M15" i="164"/>
  <c r="Q14" i="164"/>
  <c r="M14" i="164"/>
  <c r="Q13" i="164"/>
  <c r="M13" i="164"/>
  <c r="Q12" i="164"/>
  <c r="N12" i="164"/>
  <c r="M12" i="164"/>
  <c r="Q11" i="164"/>
  <c r="M11" i="164"/>
  <c r="Q10" i="164"/>
  <c r="M10" i="164"/>
  <c r="B9" i="164"/>
  <c r="C9" i="164" s="1"/>
  <c r="D9" i="164" s="1"/>
  <c r="E9" i="164" s="1"/>
  <c r="F9" i="164" s="1"/>
  <c r="G9" i="164" s="1"/>
  <c r="H9" i="164" s="1"/>
  <c r="I9" i="164" s="1"/>
  <c r="J9" i="164" s="1"/>
  <c r="K9" i="164" s="1"/>
  <c r="L9" i="164" s="1"/>
  <c r="M9" i="164" s="1"/>
  <c r="N9" i="164" s="1"/>
  <c r="O9" i="164" s="1"/>
  <c r="P9" i="164" s="1"/>
  <c r="Q9" i="164" s="1"/>
  <c r="J195" i="164" l="1"/>
  <c r="N195" i="164"/>
  <c r="M195" i="164"/>
  <c r="Q195" i="164"/>
  <c r="N195" i="163"/>
  <c r="N76" i="163"/>
  <c r="N105" i="163"/>
  <c r="N196" i="163"/>
  <c r="N188" i="163"/>
  <c r="N186" i="163"/>
  <c r="N173" i="163"/>
  <c r="N169" i="163"/>
  <c r="N161" i="163"/>
  <c r="N154" i="163"/>
  <c r="N134" i="163"/>
  <c r="N129" i="163"/>
  <c r="N127" i="163"/>
  <c r="N125" i="163"/>
  <c r="N117" i="163"/>
  <c r="N119" i="163"/>
  <c r="N114" i="163"/>
  <c r="N107" i="163"/>
  <c r="N101" i="163"/>
  <c r="N103" i="163"/>
  <c r="N96" i="163"/>
  <c r="N83" i="163"/>
  <c r="N78" i="163"/>
  <c r="N73" i="163"/>
  <c r="N69" i="163"/>
  <c r="N68" i="163"/>
  <c r="N62" i="163"/>
  <c r="N57" i="163"/>
  <c r="N48" i="163"/>
  <c r="N12" i="163"/>
  <c r="N46" i="163"/>
  <c r="N116" i="163"/>
  <c r="N42" i="163"/>
  <c r="N41" i="163"/>
  <c r="N33" i="163"/>
  <c r="N29" i="163"/>
  <c r="N17" i="163"/>
  <c r="N25" i="163"/>
  <c r="M14" i="163" l="1"/>
  <c r="M16" i="163"/>
  <c r="M18" i="163"/>
  <c r="M21" i="163"/>
  <c r="M23" i="163"/>
  <c r="M27" i="163"/>
  <c r="M31" i="163"/>
  <c r="M32" i="163"/>
  <c r="M34" i="163"/>
  <c r="M36" i="163"/>
  <c r="M38" i="163"/>
  <c r="M40" i="163"/>
  <c r="M43" i="163"/>
  <c r="M44" i="163"/>
  <c r="M45" i="163"/>
  <c r="M47" i="163"/>
  <c r="M49" i="163"/>
  <c r="M51" i="163"/>
  <c r="M53" i="163"/>
  <c r="M54" i="163"/>
  <c r="M56" i="163"/>
  <c r="M58" i="163"/>
  <c r="M60" i="163"/>
  <c r="M61" i="163"/>
  <c r="M63" i="163"/>
  <c r="M65" i="163"/>
  <c r="M67" i="163"/>
  <c r="M70" i="163"/>
  <c r="M71" i="163"/>
  <c r="M72" i="163"/>
  <c r="M74" i="163"/>
  <c r="M77" i="163"/>
  <c r="M82" i="163"/>
  <c r="M85" i="163"/>
  <c r="M87" i="163"/>
  <c r="M89" i="163"/>
  <c r="M91" i="163"/>
  <c r="M93" i="163"/>
  <c r="M95" i="163"/>
  <c r="M97" i="163"/>
  <c r="M99" i="163"/>
  <c r="M100" i="163"/>
  <c r="M102" i="163"/>
  <c r="M104" i="163"/>
  <c r="M106" i="163"/>
  <c r="M108" i="163"/>
  <c r="M111" i="163"/>
  <c r="M113" i="163"/>
  <c r="M115" i="163"/>
  <c r="M118" i="163"/>
  <c r="M120" i="163"/>
  <c r="M122" i="163"/>
  <c r="M124" i="163"/>
  <c r="M126" i="163"/>
  <c r="M128" i="163"/>
  <c r="M130" i="163"/>
  <c r="M133" i="163"/>
  <c r="M135" i="163"/>
  <c r="M137" i="163"/>
  <c r="M139" i="163"/>
  <c r="M143" i="163"/>
  <c r="M146" i="163"/>
  <c r="M149" i="163"/>
  <c r="M151" i="163"/>
  <c r="M153" i="163"/>
  <c r="M155" i="163"/>
  <c r="M156" i="163"/>
  <c r="M158" i="163"/>
  <c r="M159" i="163"/>
  <c r="M160" i="163"/>
  <c r="M162" i="163"/>
  <c r="M165" i="163"/>
  <c r="M167" i="163"/>
  <c r="M168" i="163"/>
  <c r="M170" i="163"/>
  <c r="M172" i="163"/>
  <c r="M174" i="163"/>
  <c r="M177" i="163"/>
  <c r="M179" i="163"/>
  <c r="M180" i="163"/>
  <c r="M181" i="163"/>
  <c r="M182" i="163"/>
  <c r="M184" i="163"/>
  <c r="M185" i="163"/>
  <c r="M187" i="163"/>
  <c r="M189" i="163"/>
  <c r="M191" i="163"/>
  <c r="M193" i="163"/>
  <c r="M194" i="163"/>
  <c r="M195" i="163"/>
  <c r="M11" i="163"/>
  <c r="I197" i="163"/>
  <c r="H197" i="163"/>
  <c r="Q196" i="163"/>
  <c r="M196" i="163"/>
  <c r="Q194" i="163"/>
  <c r="Q193" i="163"/>
  <c r="Q192" i="163"/>
  <c r="M192" i="163"/>
  <c r="Q191" i="163"/>
  <c r="Q190" i="163"/>
  <c r="M190" i="163"/>
  <c r="Q189" i="163"/>
  <c r="Q188" i="163"/>
  <c r="M188" i="163"/>
  <c r="Q187" i="163"/>
  <c r="Q186" i="163"/>
  <c r="M186" i="163"/>
  <c r="Q185" i="163"/>
  <c r="Q184" i="163"/>
  <c r="M183" i="163"/>
  <c r="Q182" i="163"/>
  <c r="Q179" i="163"/>
  <c r="Q178" i="163"/>
  <c r="M178" i="163"/>
  <c r="Q177" i="163"/>
  <c r="Q176" i="163"/>
  <c r="M176" i="163"/>
  <c r="M175" i="163"/>
  <c r="Q174" i="163"/>
  <c r="Q173" i="163"/>
  <c r="M173" i="163"/>
  <c r="Q172" i="163"/>
  <c r="Q171" i="163"/>
  <c r="M171" i="163"/>
  <c r="Q170" i="163"/>
  <c r="Q169" i="163"/>
  <c r="M169" i="163"/>
  <c r="Q168" i="163"/>
  <c r="Q167" i="163"/>
  <c r="Q166" i="163"/>
  <c r="M166" i="163"/>
  <c r="Q165" i="163"/>
  <c r="Q164" i="163"/>
  <c r="M164" i="163"/>
  <c r="M163" i="163"/>
  <c r="Q162" i="163"/>
  <c r="Q161" i="163"/>
  <c r="M161" i="163"/>
  <c r="Q160" i="163"/>
  <c r="Q159" i="163"/>
  <c r="Q158" i="163"/>
  <c r="Q157" i="163"/>
  <c r="M157" i="163"/>
  <c r="Q156" i="163"/>
  <c r="Q155" i="163"/>
  <c r="Q154" i="163"/>
  <c r="M154" i="163"/>
  <c r="M152" i="163"/>
  <c r="Q151" i="163"/>
  <c r="Q150" i="163"/>
  <c r="M150" i="163"/>
  <c r="Q148" i="163"/>
  <c r="M148" i="163"/>
  <c r="M147" i="163"/>
  <c r="Q146" i="163"/>
  <c r="Q145" i="163"/>
  <c r="M145" i="163"/>
  <c r="Q144" i="163"/>
  <c r="M144" i="163"/>
  <c r="Q143" i="163"/>
  <c r="Q142" i="163"/>
  <c r="M142" i="163"/>
  <c r="Q141" i="163"/>
  <c r="M141" i="163"/>
  <c r="Q140" i="163"/>
  <c r="M140" i="163"/>
  <c r="Q139" i="163"/>
  <c r="Q138" i="163"/>
  <c r="M138" i="163"/>
  <c r="Q137" i="163"/>
  <c r="Q136" i="163"/>
  <c r="M136" i="163"/>
  <c r="Q135" i="163"/>
  <c r="Q134" i="163"/>
  <c r="M134" i="163"/>
  <c r="Q133" i="163"/>
  <c r="Q132" i="163"/>
  <c r="M132" i="163"/>
  <c r="Q131" i="163"/>
  <c r="M131" i="163"/>
  <c r="Q130" i="163"/>
  <c r="Q129" i="163"/>
  <c r="M129" i="163"/>
  <c r="Q128" i="163"/>
  <c r="Q127" i="163"/>
  <c r="M127" i="163"/>
  <c r="Q126" i="163"/>
  <c r="Q125" i="163"/>
  <c r="M125" i="163"/>
  <c r="Q124" i="163"/>
  <c r="Q123" i="163"/>
  <c r="M123" i="163"/>
  <c r="Q122" i="163"/>
  <c r="Q121" i="163"/>
  <c r="M121" i="163"/>
  <c r="Q120" i="163"/>
  <c r="Q119" i="163"/>
  <c r="M119" i="163"/>
  <c r="Q118" i="163"/>
  <c r="Q117" i="163"/>
  <c r="M117" i="163"/>
  <c r="Q116" i="163"/>
  <c r="M116" i="163"/>
  <c r="Q115" i="163"/>
  <c r="Q114" i="163"/>
  <c r="M114" i="163"/>
  <c r="Q113" i="163"/>
  <c r="Q112" i="163"/>
  <c r="M112" i="163"/>
  <c r="Q111" i="163"/>
  <c r="Q110" i="163"/>
  <c r="M110" i="163"/>
  <c r="Q109" i="163"/>
  <c r="M109" i="163"/>
  <c r="Q108" i="163"/>
  <c r="Q107" i="163"/>
  <c r="M107" i="163"/>
  <c r="Q106" i="163"/>
  <c r="Q105" i="163"/>
  <c r="M105" i="163"/>
  <c r="Q104" i="163"/>
  <c r="Q103" i="163"/>
  <c r="M103" i="163"/>
  <c r="Q102" i="163"/>
  <c r="Q101" i="163"/>
  <c r="M101" i="163"/>
  <c r="Q100" i="163"/>
  <c r="Q98" i="163"/>
  <c r="M98" i="163"/>
  <c r="Q97" i="163"/>
  <c r="Q96" i="163"/>
  <c r="M96" i="163"/>
  <c r="Q95" i="163"/>
  <c r="Q94" i="163"/>
  <c r="M94" i="163"/>
  <c r="Q93" i="163"/>
  <c r="Q92" i="163"/>
  <c r="M92" i="163"/>
  <c r="Q91" i="163"/>
  <c r="Q90" i="163"/>
  <c r="M90" i="163"/>
  <c r="Q89" i="163"/>
  <c r="Q88" i="163"/>
  <c r="M88" i="163"/>
  <c r="Q87" i="163"/>
  <c r="Q86" i="163"/>
  <c r="M86" i="163"/>
  <c r="Q85" i="163"/>
  <c r="Q84" i="163"/>
  <c r="M84" i="163"/>
  <c r="Q83" i="163"/>
  <c r="M83" i="163"/>
  <c r="Q82" i="163"/>
  <c r="Q81" i="163"/>
  <c r="M81" i="163"/>
  <c r="Q80" i="163"/>
  <c r="M80" i="163"/>
  <c r="Q79" i="163"/>
  <c r="M79" i="163"/>
  <c r="Q78" i="163"/>
  <c r="M78" i="163"/>
  <c r="Q77" i="163"/>
  <c r="Q76" i="163"/>
  <c r="M76" i="163"/>
  <c r="Q75" i="163"/>
  <c r="M75" i="163"/>
  <c r="Q74" i="163"/>
  <c r="Q73" i="163"/>
  <c r="M73" i="163"/>
  <c r="Q72" i="163"/>
  <c r="Q71" i="163"/>
  <c r="Q70" i="163"/>
  <c r="Q69" i="163"/>
  <c r="M69" i="163"/>
  <c r="Q68" i="163"/>
  <c r="M68" i="163"/>
  <c r="Q67" i="163"/>
  <c r="Q66" i="163"/>
  <c r="M66" i="163"/>
  <c r="Q65" i="163"/>
  <c r="Q64" i="163"/>
  <c r="M64" i="163"/>
  <c r="Q63" i="163"/>
  <c r="Q62" i="163"/>
  <c r="M62" i="163"/>
  <c r="Q61" i="163"/>
  <c r="Q60" i="163"/>
  <c r="Q59" i="163"/>
  <c r="M59" i="163"/>
  <c r="Q58" i="163"/>
  <c r="Q57" i="163"/>
  <c r="M57" i="163"/>
  <c r="Q56" i="163"/>
  <c r="Q55" i="163"/>
  <c r="M55" i="163"/>
  <c r="Q54" i="163"/>
  <c r="Q53" i="163"/>
  <c r="Q52" i="163"/>
  <c r="M52" i="163"/>
  <c r="Q51" i="163"/>
  <c r="Q50" i="163"/>
  <c r="M50" i="163"/>
  <c r="Q49" i="163"/>
  <c r="Q48" i="163"/>
  <c r="M48" i="163"/>
  <c r="Q47" i="163"/>
  <c r="Q46" i="163"/>
  <c r="M46" i="163"/>
  <c r="Q45" i="163"/>
  <c r="Q44" i="163"/>
  <c r="Q43" i="163"/>
  <c r="Q42" i="163"/>
  <c r="M42" i="163"/>
  <c r="Q41" i="163"/>
  <c r="M41" i="163"/>
  <c r="Q40" i="163"/>
  <c r="Q39" i="163"/>
  <c r="M39" i="163"/>
  <c r="Q38" i="163"/>
  <c r="Q37" i="163"/>
  <c r="M37" i="163"/>
  <c r="Q36" i="163"/>
  <c r="Q35" i="163"/>
  <c r="M35" i="163"/>
  <c r="Q34" i="163"/>
  <c r="Q33" i="163"/>
  <c r="M33" i="163"/>
  <c r="Q32" i="163"/>
  <c r="Q31" i="163"/>
  <c r="Q30" i="163"/>
  <c r="M30" i="163"/>
  <c r="Q29" i="163"/>
  <c r="M29" i="163"/>
  <c r="Q28" i="163"/>
  <c r="M28" i="163"/>
  <c r="Q27" i="163"/>
  <c r="Q26" i="163"/>
  <c r="M26" i="163"/>
  <c r="Q25" i="163"/>
  <c r="M25" i="163"/>
  <c r="M24" i="163"/>
  <c r="Q23" i="163"/>
  <c r="Q22" i="163"/>
  <c r="M22" i="163"/>
  <c r="Q21" i="163"/>
  <c r="Q20" i="163"/>
  <c r="M20" i="163"/>
  <c r="Q19" i="163"/>
  <c r="M19" i="163"/>
  <c r="Q18" i="163"/>
  <c r="Q17" i="163"/>
  <c r="M17" i="163"/>
  <c r="Q16" i="163"/>
  <c r="Q15" i="163"/>
  <c r="M15" i="163"/>
  <c r="Q14" i="163"/>
  <c r="Q13" i="163"/>
  <c r="M13" i="163"/>
  <c r="Q12" i="163"/>
  <c r="M12" i="163"/>
  <c r="Q11" i="163"/>
  <c r="P197" i="163"/>
  <c r="N197" i="163"/>
  <c r="L197" i="163"/>
  <c r="K197" i="163"/>
  <c r="B9" i="163"/>
  <c r="C9" i="163" s="1"/>
  <c r="D9" i="163" s="1"/>
  <c r="E9" i="163" s="1"/>
  <c r="F9" i="163" s="1"/>
  <c r="G9" i="163" s="1"/>
  <c r="H9" i="163" s="1"/>
  <c r="I9" i="163" s="1"/>
  <c r="J9" i="163" s="1"/>
  <c r="K9" i="163" s="1"/>
  <c r="L9" i="163" s="1"/>
  <c r="M9" i="163" s="1"/>
  <c r="N9" i="163" s="1"/>
  <c r="O9" i="163" s="1"/>
  <c r="P9" i="163" s="1"/>
  <c r="Q9" i="163" s="1"/>
  <c r="M10" i="163" l="1"/>
  <c r="J197" i="163"/>
  <c r="O197" i="163"/>
  <c r="Q197" i="163" s="1"/>
  <c r="M197" i="163"/>
  <c r="Q183" i="163"/>
  <c r="Q10" i="163"/>
</calcChain>
</file>

<file path=xl/sharedStrings.xml><?xml version="1.0" encoding="utf-8"?>
<sst xmlns="http://schemas.openxmlformats.org/spreadsheetml/2006/main" count="4165" uniqueCount="336">
  <si>
    <t>№</t>
  </si>
  <si>
    <t>Організаційна форма адвокатської діяльності (ІНД, АБ, АО)</t>
  </si>
  <si>
    <t>Населений пункт, де знаходиться робоче місце адвоката (за ЄРАУ)</t>
  </si>
  <si>
    <t>Назва адвокатського бюро чи адвокатського об'єднання</t>
  </si>
  <si>
    <t>ПІБ адвокатів, з якими центрами з надання БВПД (було) укладено контракт / договір</t>
  </si>
  <si>
    <t>Назва центру з надання БВПД, з яким адвокатом (було) укладено контракт / договір (скорочено)</t>
  </si>
  <si>
    <t>Реквізити контракту / договору (дата укладання, №)</t>
  </si>
  <si>
    <t>кількість виданих відповідним центром доручень (без врахування скасованих доручень, БВПД за якими не надавалася)</t>
  </si>
  <si>
    <t>кількість доручень, за якими відповідним центром прийнято хоча б один акт</t>
  </si>
  <si>
    <t>кількість актів, прийнятих відповідним центром</t>
  </si>
  <si>
    <t>І. Інформація про адвоката, який надає БВПД</t>
  </si>
  <si>
    <t>сума фактичних видатків (зареєстрованих та взятих на облік органами ДКСУ) за затвердженими актами, грн</t>
  </si>
  <si>
    <t>сума касових видатків за затвердженими актами, грн</t>
  </si>
  <si>
    <t>сума кредиторської заборгованості за затвердженими актами, грн</t>
  </si>
  <si>
    <t>(назва регіонального центру з надання БВПД, яким підготовано інформацію)</t>
  </si>
  <si>
    <t xml:space="preserve">Додаток 2
до наказу Координаційного центру
з надання правової допомоги
від «31» грудня 2015 року № 308
(в редакції наказу Координаційного центру з надання правової допомоги
від ___ січня 2017 року № ____)
</t>
  </si>
  <si>
    <t>Анацький Олег Валерійович</t>
  </si>
  <si>
    <t>ІНД</t>
  </si>
  <si>
    <t>м. Охтирка</t>
  </si>
  <si>
    <t>Безверха Ганна Олександрівна</t>
  </si>
  <si>
    <t>м. Суми</t>
  </si>
  <si>
    <t>м. Шостка</t>
  </si>
  <si>
    <t>Богданов Віктор Анатолійович</t>
  </si>
  <si>
    <t>м. Глухів</t>
  </si>
  <si>
    <t>Бордюк Юлія Володимирівна</t>
  </si>
  <si>
    <t>Борох Валерій Миколайович</t>
  </si>
  <si>
    <t>Бушта Віта Олександрівна</t>
  </si>
  <si>
    <t>м.Конотоп</t>
  </si>
  <si>
    <t>Валюх Юрій Васильович</t>
  </si>
  <si>
    <t>смт. Недригайлів</t>
  </si>
  <si>
    <t>Вербицький Віктор Михайлович</t>
  </si>
  <si>
    <t>Волкова Ірина Іванівна</t>
  </si>
  <si>
    <t>м. Конотоп</t>
  </si>
  <si>
    <t>Гаврилюк Надія Миколаївна</t>
  </si>
  <si>
    <t>Глущенко Віталій Вікторович</t>
  </si>
  <si>
    <t>м. Ромни</t>
  </si>
  <si>
    <t>Гребеник Світлана Миколаївна</t>
  </si>
  <si>
    <t>Гулаков Андрій Іванович</t>
  </si>
  <si>
    <t>Гусейнова Вафа Гамзатівна</t>
  </si>
  <si>
    <t>Дем’яненко Наталія Петрівна</t>
  </si>
  <si>
    <t>смт. Краснопілля</t>
  </si>
  <si>
    <t>Дехтярьов Олександр Олексійович</t>
  </si>
  <si>
    <t>Єфіменко Лідія Іванівна</t>
  </si>
  <si>
    <t>Іващенко Тамара Андріївна</t>
  </si>
  <si>
    <t>Ільченко Вадим Володимирович</t>
  </si>
  <si>
    <t>Казміренко Лариса Олексіївна</t>
  </si>
  <si>
    <t>Калантаєнко Сергій Вікторович</t>
  </si>
  <si>
    <t>Ковальова Олександра Михайлівна</t>
  </si>
  <si>
    <t>Козін Тетяна Володимирівна</t>
  </si>
  <si>
    <t>смт.Л.Долина</t>
  </si>
  <si>
    <t>Кондратенко Максим Миколайович</t>
  </si>
  <si>
    <t>Кондратенко Світлана Юріївна</t>
  </si>
  <si>
    <t>Косолап Микола Михайлович</t>
  </si>
  <si>
    <t>Кривенко Борис Григорович</t>
  </si>
  <si>
    <t>Кубанова Анна Михайлівна</t>
  </si>
  <si>
    <t>Кудін Олександр Михайлович</t>
  </si>
  <si>
    <t>Лазун Надія Степанівна</t>
  </si>
  <si>
    <t>Лебединець Наталія Іванівна</t>
  </si>
  <si>
    <t>Лисенко  Галина Костянтинівна</t>
  </si>
  <si>
    <t>Литовченко Лідія  Іванівна</t>
  </si>
  <si>
    <t>Малюк Вікторія Валеріївна</t>
  </si>
  <si>
    <t>Марченко Анатолій Іванович</t>
  </si>
  <si>
    <t>АО</t>
  </si>
  <si>
    <t>Матеко Лариса Анатоліївна</t>
  </si>
  <si>
    <t>Мороко Сергій Олегович</t>
  </si>
  <si>
    <t>Мусієнко Оксана Вікторівна</t>
  </si>
  <si>
    <t>Назаренко Олексій Олександрович</t>
  </si>
  <si>
    <t>Нікітченко Евгенія Вікторівна</t>
  </si>
  <si>
    <t>Овчинникова Раїса Олексіївна</t>
  </si>
  <si>
    <t>Островська Ганна Вікторівна</t>
  </si>
  <si>
    <t>Пашков Сергій Іванович</t>
  </si>
  <si>
    <t>м. Білопілля</t>
  </si>
  <si>
    <t>Прихожай Тетяна Ігорівна</t>
  </si>
  <si>
    <t>Прокоп’єва Марина Аполонівна</t>
  </si>
  <si>
    <t>Розторгуєва Валентина Борисівна</t>
  </si>
  <si>
    <t>Сапіч Володимир Михайлович</t>
  </si>
  <si>
    <t>Сумський район</t>
  </si>
  <si>
    <t>Семиволос Володимир Владиславович</t>
  </si>
  <si>
    <t>Сергеєва Світлана Анатоліївна</t>
  </si>
  <si>
    <t>Сінько Ольга Аркадіївна</t>
  </si>
  <si>
    <t>Смирнова Ольга Леонідівна</t>
  </si>
  <si>
    <t>Сомок Олена Анатоліївна</t>
  </si>
  <si>
    <t>Страшок Олег Володимирович</t>
  </si>
  <si>
    <t>смт. Ямпіль</t>
  </si>
  <si>
    <t>Сукач Ольга Сергіївна</t>
  </si>
  <si>
    <t>Супрун Ігор Федорович</t>
  </si>
  <si>
    <t>Третьяков Сергій Миколайович</t>
  </si>
  <si>
    <t>Фесенко Олексій Дмитрович</t>
  </si>
  <si>
    <t>м. Путивль</t>
  </si>
  <si>
    <t>Фомінов Роман Миколайович</t>
  </si>
  <si>
    <t>Хвостик Яна Сергіївна</t>
  </si>
  <si>
    <t>м.Суми</t>
  </si>
  <si>
    <t>Цимбал Володимир Іванович</t>
  </si>
  <si>
    <t>Черняк Марина Володимирівна</t>
  </si>
  <si>
    <t>Шаповал Олена Олегівна</t>
  </si>
  <si>
    <t>Шевченко Сергій Васильович</t>
  </si>
  <si>
    <t>Шудренко Тетяна Олександрівна</t>
  </si>
  <si>
    <t>Щербак Світлана Володимирівна</t>
  </si>
  <si>
    <t>Юшкевич Євгенія Юріївна</t>
  </si>
  <si>
    <t>Яковець Євгеній Олександрович</t>
  </si>
  <si>
    <t>Ященко Владислав Владиславович</t>
  </si>
  <si>
    <t xml:space="preserve">Крамаренко Ірина Валеріївна </t>
  </si>
  <si>
    <t>Регіональний центр</t>
  </si>
  <si>
    <t>Охтирський Мц</t>
  </si>
  <si>
    <t>Сумський МЦ</t>
  </si>
  <si>
    <t xml:space="preserve">Конотопський МЦ </t>
  </si>
  <si>
    <t>Охтирський МЦ</t>
  </si>
  <si>
    <t>Конотопський МЦ</t>
  </si>
  <si>
    <t>Шосткинський МЦ</t>
  </si>
  <si>
    <t>Калантаєнко Сегрій Вікторович</t>
  </si>
  <si>
    <t>Адвокатськке бюро</t>
  </si>
  <si>
    <t>"ШАПОВАЛ ОЛЕНА ТА ПАРТНЕРИ</t>
  </si>
  <si>
    <t>Всього</t>
  </si>
  <si>
    <t>ІІІ. Інформація за дорученнями, виданими у попередніх бюджетних періодах (включаючи ті, за якими станом на 01.01.2017 р. зареєстровано кредиторську заборгованість)</t>
  </si>
  <si>
    <t>Касатська Юлія Анатоліївна</t>
  </si>
  <si>
    <t>Підопригора Оксана Петрівна</t>
  </si>
  <si>
    <t>Мороз Леся Олексіївна</t>
  </si>
  <si>
    <t>Терещенко Вадим Володимирович</t>
  </si>
  <si>
    <t>Дмитренко Віталій Вікторович</t>
  </si>
  <si>
    <t>Чуяшенко Дмитро Олександрович</t>
  </si>
  <si>
    <t>Пономаренко Олександр Вікторович</t>
  </si>
  <si>
    <t>Шпак Дмитро Геннадійович</t>
  </si>
  <si>
    <t>Ганненко Олег Сергійович</t>
  </si>
  <si>
    <t>Дерев'янко Олена Валентинівна</t>
  </si>
  <si>
    <t>Котлубай Вячеслав Анатолійович</t>
  </si>
  <si>
    <t>Осіпов Юрій Валентинович</t>
  </si>
  <si>
    <t>Рудейчук Ярослава Володимирівна</t>
  </si>
  <si>
    <t>Сенча Олег Олександрович</t>
  </si>
  <si>
    <t>Біцан Ольга Миколаївна</t>
  </si>
  <si>
    <t>Бондаренко Євгенія Петрівна</t>
  </si>
  <si>
    <t>Маслова Олена Євгеніївна</t>
  </si>
  <si>
    <t>Курбатов Денис Володимирович</t>
  </si>
  <si>
    <t>Титаренко Павло Валентинович</t>
  </si>
  <si>
    <t>Думал Ольга Сергіївна</t>
  </si>
  <si>
    <t>Докукіна Тетяна Вікторівна</t>
  </si>
  <si>
    <t>АБ</t>
  </si>
  <si>
    <t>,</t>
  </si>
  <si>
    <t>Маляр Микола Васильович</t>
  </si>
  <si>
    <t>Семишкур Станіслав Вікторович</t>
  </si>
  <si>
    <t>Спаських Вадим Васильович</t>
  </si>
  <si>
    <t>АБ"Дмитра Чуяшенка"</t>
  </si>
  <si>
    <t>АБ"Олега Анацького"</t>
  </si>
  <si>
    <t>О.А.Казбан</t>
  </si>
  <si>
    <t>Оксененко Вафа Гамзатівна</t>
  </si>
  <si>
    <t>Риков Сергій Володимирович</t>
  </si>
  <si>
    <t>м.Кролевець</t>
  </si>
  <si>
    <t>АБ"Валентини Розторгуєвої "</t>
  </si>
  <si>
    <t>АБ"Олександра Кудіна"</t>
  </si>
  <si>
    <t>АБ"Кубанова і партнери"</t>
  </si>
  <si>
    <t>АБ"ОЛЬГА СІНЬКО І ПАРТНЕРИ"</t>
  </si>
  <si>
    <t>АБ"ШАПОВАЛ ОЛЕНА ТА ПАРТНЕРИ"</t>
  </si>
  <si>
    <t>"СВ і ВВ"</t>
  </si>
  <si>
    <t xml:space="preserve">АБ </t>
  </si>
  <si>
    <t>АБ "Єфіменко Лідії Іванівни"</t>
  </si>
  <si>
    <t>АБ"Калантаєнка Сергія Вікторовича"</t>
  </si>
  <si>
    <t xml:space="preserve">АБ "Валентини Розторгуєвої" </t>
  </si>
  <si>
    <t>Чеботарьов Олексанр Петрович</t>
  </si>
  <si>
    <t>Баулін Олексій Іванович</t>
  </si>
  <si>
    <t>Висєканцев Олександр Олександрович</t>
  </si>
  <si>
    <t>Ільєнок Євген Миколайович</t>
  </si>
  <si>
    <t>Максименко Елеонора Павлівна</t>
  </si>
  <si>
    <t>Стадник Семен Валерійович</t>
  </si>
  <si>
    <t>Вдовіченко Олександр Леонідович</t>
  </si>
  <si>
    <t>Наталич Ганна Вікторівна</t>
  </si>
  <si>
    <t>смт.Ямпіль</t>
  </si>
  <si>
    <t>Тютюнник В.В.</t>
  </si>
  <si>
    <t>Ткачова Світлана Анатоліївна</t>
  </si>
  <si>
    <t>Бровко Руслан Миколайович</t>
  </si>
  <si>
    <t>Стеценко Віктор Михайлович</t>
  </si>
  <si>
    <t>Начальник відділу фінансів,бухгалтерського обіку та звітності</t>
  </si>
  <si>
    <t>Литовченко Олена Миколаївна</t>
  </si>
  <si>
    <t xml:space="preserve">Оперативна інформація щодо видання доручень центрами з надання БВПД, оплати послуг та відшкодування витрат адвокатів, які надають БВПД, у 2020  році Регіональним  центром з надання безоплатної вторинної правової допомоги у Сумській області </t>
  </si>
  <si>
    <t>ІІ. Інформація за дорученнями, виданими у 2020 році</t>
  </si>
  <si>
    <t>Тютюнник Вячеслав Володимирович</t>
  </si>
  <si>
    <t>20.01.2020 № 2</t>
  </si>
  <si>
    <t>20.01.2020 № 3</t>
  </si>
  <si>
    <t>20.01.2020 № 4</t>
  </si>
  <si>
    <t>20.01.2020 № 6</t>
  </si>
  <si>
    <t>20.01.2020 № 8</t>
  </si>
  <si>
    <t>20.01.2020 № 9</t>
  </si>
  <si>
    <t>20.01.2020 № 11</t>
  </si>
  <si>
    <t>20.01.2020 № 17</t>
  </si>
  <si>
    <t>20.01.2020 № 20</t>
  </si>
  <si>
    <t>20.01.2020 № 21</t>
  </si>
  <si>
    <t>20.01.2020 № 24</t>
  </si>
  <si>
    <t>20.01.2020 № 25</t>
  </si>
  <si>
    <t>20.01.2020 № 27</t>
  </si>
  <si>
    <t>20.01.2020 № 28</t>
  </si>
  <si>
    <t>20.01.2020 № 29</t>
  </si>
  <si>
    <t>20.01.2020 № 30</t>
  </si>
  <si>
    <t>20.01.2020 № 31</t>
  </si>
  <si>
    <t>20.01.2020 № 33</t>
  </si>
  <si>
    <t>20.01.2020 № 35</t>
  </si>
  <si>
    <t>20.01.2020 № 41</t>
  </si>
  <si>
    <t>20.01.2020 № 43</t>
  </si>
  <si>
    <t>20.01.2020 № 44</t>
  </si>
  <si>
    <t>20.01.2020 № 45</t>
  </si>
  <si>
    <t>20.01.2020 № 46</t>
  </si>
  <si>
    <t>20.01.2020 № 47</t>
  </si>
  <si>
    <t>20.01.2020 № 50</t>
  </si>
  <si>
    <t>20.01.2020 № 52</t>
  </si>
  <si>
    <t>20.01.2020 № 54</t>
  </si>
  <si>
    <t>20.01.2020 № 57</t>
  </si>
  <si>
    <t>20.01.2020 № 59</t>
  </si>
  <si>
    <t>20.01.2020 № 60</t>
  </si>
  <si>
    <t>20.01.2020 № 65</t>
  </si>
  <si>
    <t>20.01.2020 № 66</t>
  </si>
  <si>
    <t>20.01.2020 № 67</t>
  </si>
  <si>
    <t>20.01.2020 № 69</t>
  </si>
  <si>
    <t>20.01.2020 № 70</t>
  </si>
  <si>
    <t>20.01.2020 № 73</t>
  </si>
  <si>
    <t>20.01.2020 № 75</t>
  </si>
  <si>
    <t>20.01.2020 № 76</t>
  </si>
  <si>
    <t>20.01.2020 № 80</t>
  </si>
  <si>
    <t>20.01.2020 № 83</t>
  </si>
  <si>
    <t>20.01.2020 № 85</t>
  </si>
  <si>
    <t>20.01.2020 № 87</t>
  </si>
  <si>
    <t>20.01.2020 № 88</t>
  </si>
  <si>
    <t>20.01.2020 № 89</t>
  </si>
  <si>
    <t>20.01.2020 № 90</t>
  </si>
  <si>
    <t>20.01.2020 № 91</t>
  </si>
  <si>
    <t>20.01.2020 № 5</t>
  </si>
  <si>
    <t>20.01.2020 № 10</t>
  </si>
  <si>
    <t>20.01.2020 № 13</t>
  </si>
  <si>
    <t>20.01.2020 № 18</t>
  </si>
  <si>
    <t>20.01.2020 № 19</t>
  </si>
  <si>
    <t>20.01.2020 № 22</t>
  </si>
  <si>
    <t>20.01.2020 № 55</t>
  </si>
  <si>
    <t>20.01.2020 № 56</t>
  </si>
  <si>
    <t>20.01.2020 № 15</t>
  </si>
  <si>
    <t>20.01.2020 № 61</t>
  </si>
  <si>
    <t>20.01.2020 № 74</t>
  </si>
  <si>
    <t>20.01.2020 № 81</t>
  </si>
  <si>
    <t>20.01.2020 № 84</t>
  </si>
  <si>
    <t>20.01.2020 № 86</t>
  </si>
  <si>
    <t>20.01.2020 № 48</t>
  </si>
  <si>
    <t>20.01.2020 № 49</t>
  </si>
  <si>
    <t>20.01.2020 № 64</t>
  </si>
  <si>
    <t>20.01.2020 № 7</t>
  </si>
  <si>
    <t>20.01.2020 № 12</t>
  </si>
  <si>
    <t>20.01.2020 № 16</t>
  </si>
  <si>
    <t>20.01.2020 № 26</t>
  </si>
  <si>
    <t>20.01.2020 № 34</t>
  </si>
  <si>
    <t>20.01.2020 № 51</t>
  </si>
  <si>
    <t>20.01.2020 № 53</t>
  </si>
  <si>
    <t>20.01.2020 № 58</t>
  </si>
  <si>
    <t>20.01.2020 № 62</t>
  </si>
  <si>
    <t>20.01.2020 № 77</t>
  </si>
  <si>
    <t>20.01.2020 № 78</t>
  </si>
  <si>
    <t>30.01.2020 № 1</t>
  </si>
  <si>
    <t>30.01.2020 № 14</t>
  </si>
  <si>
    <t>30.01.2020 № 23</t>
  </si>
  <si>
    <t>30.01.2020 № 36</t>
  </si>
  <si>
    <t>30.01.2020 № 38</t>
  </si>
  <si>
    <t>20.01.2020 № 39</t>
  </si>
  <si>
    <t>20.01.2020 № 40</t>
  </si>
  <si>
    <t>20.01.2020 № 32</t>
  </si>
  <si>
    <t>20.01.2020 № 42</t>
  </si>
  <si>
    <t>30.01.2020 № 63</t>
  </si>
  <si>
    <t>30.01.2020 № 68</t>
  </si>
  <si>
    <t>20.01.2020 № 72</t>
  </si>
  <si>
    <t>30.01.2020 № 79</t>
  </si>
  <si>
    <t>02.01.2020 № 1</t>
  </si>
  <si>
    <t>15.01.2020 № 6</t>
  </si>
  <si>
    <t>02.01.2020 № 2</t>
  </si>
  <si>
    <t>15.01.2020 № 5</t>
  </si>
  <si>
    <t>02.01.2020 № 3</t>
  </si>
  <si>
    <t>02.01.2020 № 4</t>
  </si>
  <si>
    <t>22.01.2020 № 6</t>
  </si>
  <si>
    <t>22.01.2020 № 3</t>
  </si>
  <si>
    <t>22.01.2020 № 1</t>
  </si>
  <si>
    <t>22.01.2020 № 4</t>
  </si>
  <si>
    <t>22.01.2020 № 2</t>
  </si>
  <si>
    <t>17.01.2020 № 16</t>
  </si>
  <si>
    <t>05.06.2019 № 19</t>
  </si>
  <si>
    <t>15.01.2020 № 1</t>
  </si>
  <si>
    <t>17.01.2020 № 17</t>
  </si>
  <si>
    <t>15.01.2020 № 2</t>
  </si>
  <si>
    <t>15.01.2020 № 3</t>
  </si>
  <si>
    <t>15.01.2020 № 4</t>
  </si>
  <si>
    <t>17.01.2020 № 18</t>
  </si>
  <si>
    <t>15.01.2020 № 15</t>
  </si>
  <si>
    <t>15.01.2020 № 7</t>
  </si>
  <si>
    <t>15.01.2020 № 8</t>
  </si>
  <si>
    <t>15.01.2020 № 9</t>
  </si>
  <si>
    <t>15.01.2020 № 10</t>
  </si>
  <si>
    <t>15.01.2020 № 11</t>
  </si>
  <si>
    <t>15.01.2020 № 12</t>
  </si>
  <si>
    <t>15.01.2020 № 13</t>
  </si>
  <si>
    <t>15.01.2020 № 14</t>
  </si>
  <si>
    <t>29.01.2018 № 1</t>
  </si>
  <si>
    <t>23.01.2020 № 24</t>
  </si>
  <si>
    <t>23.01.2020 № 25</t>
  </si>
  <si>
    <t>23.01.2020 № 26</t>
  </si>
  <si>
    <t>04.02.2019 № 29</t>
  </si>
  <si>
    <t>23.01.2020 № 27</t>
  </si>
  <si>
    <t>07.02.2018 № 8</t>
  </si>
  <si>
    <t>23.01.2020 № 28</t>
  </si>
  <si>
    <t>22.01.2020 № 5</t>
  </si>
  <si>
    <t>22.01.2020 № 7</t>
  </si>
  <si>
    <t>17.01.2019 № 14</t>
  </si>
  <si>
    <t>31.01.2019 № 28</t>
  </si>
  <si>
    <t>23.01.2020 № 29</t>
  </si>
  <si>
    <t>22.01.2020 № 8</t>
  </si>
  <si>
    <t>22.01.2020 № 9</t>
  </si>
  <si>
    <t>22.01.2020 № 10</t>
  </si>
  <si>
    <t>22.01.2020 № 11</t>
  </si>
  <si>
    <t>07.02.2018 № 19</t>
  </si>
  <si>
    <t>22.01.2020 № 12</t>
  </si>
  <si>
    <t>22.01.2020 № 13</t>
  </si>
  <si>
    <t>27.11.2019 № 37</t>
  </si>
  <si>
    <t>22.01.2020 № 14</t>
  </si>
  <si>
    <t>28.02.2019 № 31</t>
  </si>
  <si>
    <t>22.01.2020 № 15</t>
  </si>
  <si>
    <t>17.01.2020 № 22</t>
  </si>
  <si>
    <t>22.01.2020 № 16</t>
  </si>
  <si>
    <t>22.01.2020 № 17</t>
  </si>
  <si>
    <t>22.01.2020 № 18</t>
  </si>
  <si>
    <t>22.01.2020 № 19</t>
  </si>
  <si>
    <t>22.01.2020 № 20</t>
  </si>
  <si>
    <t>22.01.2020 № 21</t>
  </si>
  <si>
    <t>22.01.2020 № 22</t>
  </si>
  <si>
    <t>22.01.2020 № 23</t>
  </si>
  <si>
    <t>03.02.2020 № 37</t>
  </si>
  <si>
    <t>03.02.2020 № 82</t>
  </si>
  <si>
    <t>03.02.2020 № 71</t>
  </si>
  <si>
    <t>06.02.2020 № 8</t>
  </si>
  <si>
    <t>17.01.2019 №10</t>
  </si>
  <si>
    <t>Биковець В.В.</t>
  </si>
  <si>
    <t>24.01.2019 № 65</t>
  </si>
  <si>
    <t>10.02.2020  № 9</t>
  </si>
  <si>
    <t>20.02.2020  № 7</t>
  </si>
  <si>
    <t>20.02.2018 № 60</t>
  </si>
  <si>
    <t>Сипленко Олександр Володимирович</t>
  </si>
  <si>
    <t>Титаренко Олександр Миколайович</t>
  </si>
  <si>
    <t>Орел Руслан Володимирович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</si>
</sst>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0.00;[Red]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52">
    <xf numFmtId="0" fontId="0" fillId="0" borderId="0" xfId="0"/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 vertical="top" wrapText="1"/>
    </xf>
    <xf numFmtId="2" fontId="15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right" vertical="top" wrapText="1"/>
    </xf>
    <xf numFmtId="2" fontId="17" fillId="0" borderId="1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/>
    <xf numFmtId="14" fontId="0" fillId="0" borderId="1" xfId="0" applyNumberFormat="1" applyFont="1" applyFill="1" applyBorder="1"/>
    <xf numFmtId="0" fontId="22" fillId="0" borderId="1" xfId="0" applyFont="1" applyFill="1" applyBorder="1" applyAlignment="1">
      <alignment horizontal="center" vertical="top"/>
    </xf>
    <xf numFmtId="2" fontId="22" fillId="0" borderId="1" xfId="0" applyNumberFormat="1" applyFont="1" applyFill="1" applyBorder="1" applyAlignment="1">
      <alignment horizontal="right" vertical="top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Alignment="1">
      <alignment horizontal="right" vertical="top" wrapText="1"/>
    </xf>
    <xf numFmtId="2" fontId="11" fillId="0" borderId="1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165" fontId="26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/>
    </xf>
    <xf numFmtId="2" fontId="17" fillId="0" borderId="0" xfId="0" applyNumberFormat="1" applyFont="1" applyFill="1" applyAlignment="1">
      <alignment horizontal="center" vertical="top" wrapText="1"/>
    </xf>
    <xf numFmtId="2" fontId="0" fillId="0" borderId="0" xfId="0" applyNumberFormat="1" applyFill="1" applyAlignment="1">
      <alignment horizontal="righ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2" fontId="12" fillId="0" borderId="0" xfId="0" applyNumberFormat="1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/>
    </xf>
    <xf numFmtId="2" fontId="15" fillId="2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23" fillId="0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workbookViewId="0">
      <selection sqref="A1:XFD1048576"/>
    </sheetView>
  </sheetViews>
  <sheetFormatPr defaultRowHeight="15" x14ac:dyDescent="0.25"/>
  <cols>
    <col min="1" max="1" width="1.85546875" style="2" customWidth="1"/>
    <col min="2" max="2" width="38.28515625" style="32" customWidth="1"/>
    <col min="3" max="3" width="6.5703125" style="5" customWidth="1"/>
    <col min="4" max="4" width="17.42578125" style="5" customWidth="1"/>
    <col min="5" max="5" width="19" style="5" customWidth="1"/>
    <col min="6" max="6" width="19" style="33" customWidth="1"/>
    <col min="7" max="7" width="20.140625" style="33" customWidth="1"/>
    <col min="8" max="9" width="15.7109375" style="34" customWidth="1"/>
    <col min="10" max="10" width="15.7109375" style="39" customWidth="1"/>
    <col min="11" max="13" width="15.7109375" style="35" customWidth="1"/>
    <col min="14" max="14" width="15.7109375" style="39" customWidth="1"/>
    <col min="15" max="17" width="15.7109375" style="36" customWidth="1"/>
    <col min="18" max="18" width="11" style="2" customWidth="1"/>
    <col min="19" max="19" width="9.140625" style="2"/>
    <col min="20" max="20" width="10.42578125" style="2" bestFit="1" customWidth="1"/>
    <col min="21" max="16384" width="9.140625" style="2"/>
  </cols>
  <sheetData>
    <row r="1" spans="1:17" s="42" customFormat="1" x14ac:dyDescent="0.25">
      <c r="A1" s="9"/>
      <c r="B1" s="9"/>
      <c r="C1" s="63"/>
      <c r="D1" s="63"/>
      <c r="E1" s="63"/>
      <c r="F1" s="12"/>
      <c r="G1" s="12"/>
      <c r="H1" s="13"/>
      <c r="I1" s="13"/>
      <c r="J1" s="92"/>
      <c r="K1" s="14"/>
      <c r="L1" s="14"/>
      <c r="M1" s="14"/>
      <c r="N1" s="92"/>
      <c r="O1" s="135" t="s">
        <v>15</v>
      </c>
      <c r="P1" s="135"/>
      <c r="Q1" s="135"/>
    </row>
    <row r="2" spans="1:17" s="42" customFormat="1" x14ac:dyDescent="0.25">
      <c r="A2" s="88"/>
      <c r="B2" s="88"/>
      <c r="C2" s="89"/>
      <c r="D2" s="89"/>
      <c r="E2" s="89"/>
      <c r="F2" s="15"/>
      <c r="G2" s="15"/>
      <c r="H2" s="91"/>
      <c r="I2" s="91"/>
      <c r="J2" s="93"/>
      <c r="K2" s="16"/>
      <c r="L2" s="16"/>
      <c r="M2" s="16"/>
      <c r="N2" s="93"/>
      <c r="O2" s="17"/>
      <c r="P2" s="17"/>
      <c r="Q2" s="17"/>
    </row>
    <row r="3" spans="1:17" s="42" customFormat="1" x14ac:dyDescent="0.25">
      <c r="A3" s="136" t="s">
        <v>171</v>
      </c>
      <c r="B3" s="137"/>
      <c r="C3" s="138"/>
      <c r="D3" s="138"/>
      <c r="E3" s="138"/>
      <c r="F3" s="137"/>
      <c r="G3" s="137"/>
      <c r="H3" s="139"/>
      <c r="I3" s="139"/>
      <c r="J3" s="137"/>
      <c r="K3" s="137"/>
      <c r="L3" s="137"/>
      <c r="M3" s="137"/>
      <c r="N3" s="137"/>
      <c r="O3" s="137"/>
      <c r="P3" s="137"/>
      <c r="Q3" s="137"/>
    </row>
    <row r="4" spans="1:17" s="42" customFormat="1" x14ac:dyDescent="0.25">
      <c r="A4" s="140">
        <v>43838</v>
      </c>
      <c r="B4" s="141"/>
      <c r="C4" s="142"/>
      <c r="D4" s="142"/>
      <c r="E4" s="142"/>
      <c r="F4" s="141"/>
      <c r="G4" s="141"/>
      <c r="H4" s="143"/>
      <c r="I4" s="143"/>
      <c r="J4" s="141"/>
      <c r="K4" s="141"/>
      <c r="L4" s="141"/>
      <c r="M4" s="141"/>
      <c r="N4" s="141"/>
      <c r="O4" s="141"/>
      <c r="P4" s="141"/>
      <c r="Q4" s="141"/>
    </row>
    <row r="5" spans="1:17" s="42" customFormat="1" x14ac:dyDescent="0.25">
      <c r="A5" s="137" t="s">
        <v>14</v>
      </c>
      <c r="B5" s="137"/>
      <c r="C5" s="137"/>
      <c r="D5" s="137"/>
      <c r="E5" s="137"/>
      <c r="F5" s="137"/>
      <c r="G5" s="137"/>
      <c r="H5" s="139"/>
      <c r="I5" s="139"/>
      <c r="J5" s="137"/>
      <c r="K5" s="137"/>
      <c r="L5" s="137"/>
      <c r="M5" s="137"/>
      <c r="N5" s="137"/>
      <c r="O5" s="137"/>
      <c r="P5" s="137"/>
      <c r="Q5" s="137"/>
    </row>
    <row r="6" spans="1:17" s="42" customFormat="1" x14ac:dyDescent="0.25">
      <c r="A6" s="88"/>
      <c r="B6" s="88"/>
      <c r="C6" s="89"/>
      <c r="D6" s="89"/>
      <c r="E6" s="89"/>
      <c r="F6" s="15"/>
      <c r="G6" s="15"/>
      <c r="H6" s="91"/>
      <c r="I6" s="91"/>
      <c r="J6" s="93"/>
      <c r="K6" s="16"/>
      <c r="L6" s="16"/>
      <c r="M6" s="16"/>
      <c r="N6" s="93"/>
      <c r="O6" s="17"/>
      <c r="P6" s="17"/>
      <c r="Q6" s="17"/>
    </row>
    <row r="7" spans="1:17" x14ac:dyDescent="0.25">
      <c r="A7" s="64" t="s">
        <v>0</v>
      </c>
      <c r="B7" s="137" t="s">
        <v>10</v>
      </c>
      <c r="C7" s="138"/>
      <c r="D7" s="138"/>
      <c r="E7" s="138"/>
      <c r="F7" s="137"/>
      <c r="G7" s="137"/>
      <c r="H7" s="139" t="s">
        <v>172</v>
      </c>
      <c r="I7" s="139"/>
      <c r="J7" s="137"/>
      <c r="K7" s="137"/>
      <c r="L7" s="137"/>
      <c r="M7" s="137"/>
      <c r="N7" s="137" t="s">
        <v>113</v>
      </c>
      <c r="O7" s="137"/>
      <c r="P7" s="137"/>
      <c r="Q7" s="137"/>
    </row>
    <row r="8" spans="1:17" ht="195" x14ac:dyDescent="0.25">
      <c r="A8" s="64"/>
      <c r="B8" s="88" t="s">
        <v>4</v>
      </c>
      <c r="C8" s="89" t="s">
        <v>1</v>
      </c>
      <c r="D8" s="89" t="s">
        <v>3</v>
      </c>
      <c r="E8" s="89" t="s">
        <v>2</v>
      </c>
      <c r="F8" s="88" t="s">
        <v>6</v>
      </c>
      <c r="G8" s="15" t="s">
        <v>5</v>
      </c>
      <c r="H8" s="90" t="s">
        <v>7</v>
      </c>
      <c r="I8" s="90" t="s">
        <v>8</v>
      </c>
      <c r="J8" s="93" t="s">
        <v>9</v>
      </c>
      <c r="K8" s="16" t="s">
        <v>11</v>
      </c>
      <c r="L8" s="16" t="s">
        <v>12</v>
      </c>
      <c r="M8" s="16" t="s">
        <v>13</v>
      </c>
      <c r="N8" s="93" t="s">
        <v>9</v>
      </c>
      <c r="O8" s="17" t="s">
        <v>11</v>
      </c>
      <c r="P8" s="17" t="s">
        <v>12</v>
      </c>
      <c r="Q8" s="17" t="s">
        <v>13</v>
      </c>
    </row>
    <row r="9" spans="1:17" x14ac:dyDescent="0.25">
      <c r="A9" s="65">
        <v>1</v>
      </c>
      <c r="B9" s="10">
        <f>A9+1</f>
        <v>2</v>
      </c>
      <c r="C9" s="65">
        <f t="shared" ref="C9:Q9" si="0">B9+1</f>
        <v>3</v>
      </c>
      <c r="D9" s="65">
        <f t="shared" si="0"/>
        <v>4</v>
      </c>
      <c r="E9" s="65">
        <f t="shared" si="0"/>
        <v>5</v>
      </c>
      <c r="F9" s="18">
        <f t="shared" si="0"/>
        <v>6</v>
      </c>
      <c r="G9" s="18">
        <f t="shared" si="0"/>
        <v>7</v>
      </c>
      <c r="H9" s="19">
        <f t="shared" si="0"/>
        <v>8</v>
      </c>
      <c r="I9" s="19">
        <f t="shared" si="0"/>
        <v>9</v>
      </c>
      <c r="J9" s="94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94">
        <f t="shared" si="0"/>
        <v>14</v>
      </c>
      <c r="O9" s="21">
        <f t="shared" si="0"/>
        <v>15</v>
      </c>
      <c r="P9" s="21">
        <f t="shared" si="0"/>
        <v>16</v>
      </c>
      <c r="Q9" s="21">
        <f t="shared" si="0"/>
        <v>17</v>
      </c>
    </row>
    <row r="10" spans="1:17" s="3" customFormat="1" ht="30" x14ac:dyDescent="0.25">
      <c r="A10" s="66"/>
      <c r="B10" s="11" t="s">
        <v>16</v>
      </c>
      <c r="C10" s="48" t="s">
        <v>135</v>
      </c>
      <c r="D10" s="49" t="s">
        <v>141</v>
      </c>
      <c r="E10" s="50" t="s">
        <v>18</v>
      </c>
      <c r="F10" s="22"/>
      <c r="G10" s="23" t="s">
        <v>102</v>
      </c>
      <c r="H10" s="24"/>
      <c r="I10" s="25"/>
      <c r="J10" s="38"/>
      <c r="K10" s="26"/>
      <c r="L10" s="26"/>
      <c r="M10" s="62">
        <f>K10-L10</f>
        <v>0</v>
      </c>
      <c r="N10" s="40"/>
      <c r="O10" s="26"/>
      <c r="P10" s="26"/>
      <c r="Q10" s="27">
        <f>O10-P10</f>
        <v>0</v>
      </c>
    </row>
    <row r="11" spans="1:17" s="3" customFormat="1" ht="30" x14ac:dyDescent="0.25">
      <c r="A11" s="66"/>
      <c r="B11" s="11" t="s">
        <v>16</v>
      </c>
      <c r="C11" s="48" t="s">
        <v>135</v>
      </c>
      <c r="D11" s="49" t="s">
        <v>141</v>
      </c>
      <c r="E11" s="50" t="s">
        <v>18</v>
      </c>
      <c r="F11" s="22"/>
      <c r="G11" s="67" t="s">
        <v>106</v>
      </c>
      <c r="H11" s="48"/>
      <c r="I11" s="68"/>
      <c r="J11" s="37"/>
      <c r="K11" s="62"/>
      <c r="L11" s="62"/>
      <c r="M11" s="62">
        <f>K11-L11</f>
        <v>0</v>
      </c>
      <c r="N11" s="40"/>
      <c r="O11" s="62"/>
      <c r="P11" s="62"/>
      <c r="Q11" s="69">
        <f t="shared" ref="Q11:Q81" si="1">O11-P11</f>
        <v>0</v>
      </c>
    </row>
    <row r="12" spans="1:17" s="3" customFormat="1" x14ac:dyDescent="0.25">
      <c r="A12" s="66"/>
      <c r="B12" s="11" t="s">
        <v>157</v>
      </c>
      <c r="C12" s="48" t="s">
        <v>135</v>
      </c>
      <c r="D12" s="49"/>
      <c r="E12" s="50"/>
      <c r="F12" s="51"/>
      <c r="G12" s="67" t="s">
        <v>102</v>
      </c>
      <c r="H12" s="48"/>
      <c r="I12" s="68"/>
      <c r="J12" s="37"/>
      <c r="K12" s="62"/>
      <c r="L12" s="62"/>
      <c r="M12" s="62">
        <f t="shared" ref="M12:M75" si="2">K12-L12</f>
        <v>0</v>
      </c>
      <c r="N12" s="40">
        <f>1</f>
        <v>1</v>
      </c>
      <c r="O12" s="62"/>
      <c r="P12" s="62"/>
      <c r="Q12" s="27">
        <f t="shared" si="1"/>
        <v>0</v>
      </c>
    </row>
    <row r="13" spans="1:17" s="4" customFormat="1" x14ac:dyDescent="0.25">
      <c r="A13" s="66"/>
      <c r="B13" s="11" t="s">
        <v>19</v>
      </c>
      <c r="C13" s="48" t="s">
        <v>17</v>
      </c>
      <c r="D13" s="49"/>
      <c r="E13" s="50" t="s">
        <v>20</v>
      </c>
      <c r="F13" s="22"/>
      <c r="G13" s="23" t="s">
        <v>102</v>
      </c>
      <c r="H13" s="24"/>
      <c r="I13" s="25"/>
      <c r="J13" s="37"/>
      <c r="K13" s="26"/>
      <c r="L13" s="26"/>
      <c r="M13" s="62">
        <f t="shared" si="2"/>
        <v>0</v>
      </c>
      <c r="N13" s="40"/>
      <c r="O13" s="28"/>
      <c r="P13" s="28"/>
      <c r="Q13" s="27">
        <f t="shared" si="1"/>
        <v>0</v>
      </c>
    </row>
    <row r="14" spans="1:17" s="4" customFormat="1" x14ac:dyDescent="0.25">
      <c r="A14" s="66"/>
      <c r="B14" s="11" t="s">
        <v>19</v>
      </c>
      <c r="C14" s="48" t="s">
        <v>17</v>
      </c>
      <c r="D14" s="49"/>
      <c r="E14" s="50" t="s">
        <v>20</v>
      </c>
      <c r="F14" s="22"/>
      <c r="G14" s="67" t="s">
        <v>104</v>
      </c>
      <c r="H14" s="48"/>
      <c r="I14" s="68"/>
      <c r="J14" s="52"/>
      <c r="K14" s="26"/>
      <c r="L14" s="26"/>
      <c r="M14" s="62">
        <f t="shared" si="2"/>
        <v>0</v>
      </c>
      <c r="N14" s="40"/>
      <c r="O14" s="62"/>
      <c r="P14" s="62"/>
      <c r="Q14" s="69">
        <f t="shared" si="1"/>
        <v>0</v>
      </c>
    </row>
    <row r="15" spans="1:17" s="4" customFormat="1" x14ac:dyDescent="0.25">
      <c r="A15" s="66"/>
      <c r="B15" s="11" t="s">
        <v>128</v>
      </c>
      <c r="C15" s="48" t="s">
        <v>17</v>
      </c>
      <c r="D15" s="49"/>
      <c r="E15" s="50" t="s">
        <v>20</v>
      </c>
      <c r="F15" s="22"/>
      <c r="G15" s="23" t="s">
        <v>102</v>
      </c>
      <c r="H15" s="24"/>
      <c r="I15" s="29"/>
      <c r="J15" s="37"/>
      <c r="K15" s="26"/>
      <c r="L15" s="26"/>
      <c r="M15" s="62">
        <f t="shared" si="2"/>
        <v>0</v>
      </c>
      <c r="N15" s="43"/>
      <c r="O15" s="28"/>
      <c r="P15" s="28"/>
      <c r="Q15" s="27">
        <f t="shared" si="1"/>
        <v>0</v>
      </c>
    </row>
    <row r="16" spans="1:17" s="4" customFormat="1" x14ac:dyDescent="0.25">
      <c r="A16" s="66"/>
      <c r="B16" s="70" t="s">
        <v>128</v>
      </c>
      <c r="C16" s="48" t="s">
        <v>17</v>
      </c>
      <c r="D16" s="49"/>
      <c r="E16" s="50" t="s">
        <v>20</v>
      </c>
      <c r="F16" s="22"/>
      <c r="G16" s="67" t="s">
        <v>104</v>
      </c>
      <c r="H16" s="48"/>
      <c r="I16" s="68"/>
      <c r="J16" s="52"/>
      <c r="K16" s="26"/>
      <c r="L16" s="26"/>
      <c r="M16" s="62">
        <f t="shared" si="2"/>
        <v>0</v>
      </c>
      <c r="N16" s="40"/>
      <c r="O16" s="62"/>
      <c r="P16" s="62"/>
      <c r="Q16" s="69">
        <f t="shared" si="1"/>
        <v>0</v>
      </c>
    </row>
    <row r="17" spans="1:17" s="3" customFormat="1" x14ac:dyDescent="0.25">
      <c r="A17" s="66"/>
      <c r="B17" s="8" t="s">
        <v>22</v>
      </c>
      <c r="C17" s="48" t="s">
        <v>17</v>
      </c>
      <c r="D17" s="49"/>
      <c r="E17" s="50" t="s">
        <v>23</v>
      </c>
      <c r="F17" s="22"/>
      <c r="G17" s="23" t="s">
        <v>102</v>
      </c>
      <c r="H17" s="24"/>
      <c r="I17" s="25"/>
      <c r="J17" s="37"/>
      <c r="K17" s="26"/>
      <c r="L17" s="26"/>
      <c r="M17" s="62">
        <f t="shared" si="2"/>
        <v>0</v>
      </c>
      <c r="N17" s="40">
        <f>19+5</f>
        <v>24</v>
      </c>
      <c r="O17" s="28"/>
      <c r="P17" s="28"/>
      <c r="Q17" s="27">
        <f t="shared" si="1"/>
        <v>0</v>
      </c>
    </row>
    <row r="18" spans="1:17" s="3" customFormat="1" x14ac:dyDescent="0.25">
      <c r="A18" s="66"/>
      <c r="B18" s="8" t="s">
        <v>129</v>
      </c>
      <c r="C18" s="48" t="s">
        <v>17</v>
      </c>
      <c r="D18" s="49"/>
      <c r="E18" s="50" t="s">
        <v>20</v>
      </c>
      <c r="F18" s="22"/>
      <c r="G18" s="67" t="s">
        <v>104</v>
      </c>
      <c r="H18" s="48"/>
      <c r="I18" s="71"/>
      <c r="J18" s="52"/>
      <c r="K18" s="53"/>
      <c r="L18" s="53"/>
      <c r="M18" s="62">
        <f t="shared" si="2"/>
        <v>0</v>
      </c>
      <c r="N18" s="43"/>
      <c r="O18" s="62"/>
      <c r="P18" s="62"/>
      <c r="Q18" s="69">
        <f t="shared" si="1"/>
        <v>0</v>
      </c>
    </row>
    <row r="19" spans="1:17" s="3" customFormat="1" x14ac:dyDescent="0.25">
      <c r="A19" s="66"/>
      <c r="B19" s="8" t="s">
        <v>129</v>
      </c>
      <c r="C19" s="48" t="s">
        <v>17</v>
      </c>
      <c r="D19" s="49"/>
      <c r="E19" s="50" t="s">
        <v>20</v>
      </c>
      <c r="F19" s="22"/>
      <c r="G19" s="23" t="s">
        <v>102</v>
      </c>
      <c r="H19" s="24"/>
      <c r="I19" s="25"/>
      <c r="J19" s="37"/>
      <c r="K19" s="26"/>
      <c r="L19" s="26"/>
      <c r="M19" s="62">
        <f t="shared" si="2"/>
        <v>0</v>
      </c>
      <c r="N19" s="40"/>
      <c r="O19" s="28"/>
      <c r="P19" s="28"/>
      <c r="Q19" s="27">
        <f t="shared" si="1"/>
        <v>0</v>
      </c>
    </row>
    <row r="20" spans="1:17" s="3" customFormat="1" x14ac:dyDescent="0.25">
      <c r="A20" s="66"/>
      <c r="B20" s="11" t="s">
        <v>24</v>
      </c>
      <c r="C20" s="48" t="s">
        <v>17</v>
      </c>
      <c r="D20" s="49"/>
      <c r="E20" s="50" t="s">
        <v>20</v>
      </c>
      <c r="F20" s="22"/>
      <c r="G20" s="23" t="s">
        <v>102</v>
      </c>
      <c r="H20" s="24"/>
      <c r="I20" s="25"/>
      <c r="J20" s="37"/>
      <c r="K20" s="26"/>
      <c r="L20" s="26"/>
      <c r="M20" s="62">
        <f t="shared" si="2"/>
        <v>0</v>
      </c>
      <c r="N20" s="40"/>
      <c r="O20" s="28"/>
      <c r="P20" s="28"/>
      <c r="Q20" s="69">
        <f t="shared" si="1"/>
        <v>0</v>
      </c>
    </row>
    <row r="21" spans="1:17" s="3" customFormat="1" x14ac:dyDescent="0.25">
      <c r="A21" s="66"/>
      <c r="B21" s="11" t="s">
        <v>24</v>
      </c>
      <c r="C21" s="48" t="s">
        <v>17</v>
      </c>
      <c r="D21" s="49"/>
      <c r="E21" s="50" t="s">
        <v>20</v>
      </c>
      <c r="F21" s="22"/>
      <c r="G21" s="67" t="s">
        <v>104</v>
      </c>
      <c r="H21" s="48"/>
      <c r="I21" s="68"/>
      <c r="J21" s="52"/>
      <c r="K21" s="26"/>
      <c r="L21" s="26"/>
      <c r="M21" s="62">
        <f t="shared" si="2"/>
        <v>0</v>
      </c>
      <c r="N21" s="40"/>
      <c r="O21" s="62"/>
      <c r="P21" s="62"/>
      <c r="Q21" s="69">
        <f t="shared" si="1"/>
        <v>0</v>
      </c>
    </row>
    <row r="22" spans="1:17" s="3" customFormat="1" x14ac:dyDescent="0.25">
      <c r="A22" s="66"/>
      <c r="B22" s="11" t="s">
        <v>25</v>
      </c>
      <c r="C22" s="48" t="s">
        <v>17</v>
      </c>
      <c r="D22" s="49"/>
      <c r="E22" s="50" t="s">
        <v>20</v>
      </c>
      <c r="F22" s="22"/>
      <c r="G22" s="23" t="s">
        <v>102</v>
      </c>
      <c r="H22" s="24"/>
      <c r="I22" s="25"/>
      <c r="J22" s="37"/>
      <c r="K22" s="47"/>
      <c r="L22" s="47"/>
      <c r="M22" s="62">
        <f t="shared" si="2"/>
        <v>0</v>
      </c>
      <c r="N22" s="40"/>
      <c r="O22" s="28"/>
      <c r="P22" s="28"/>
      <c r="Q22" s="69">
        <f t="shared" si="1"/>
        <v>0</v>
      </c>
    </row>
    <row r="23" spans="1:17" s="3" customFormat="1" x14ac:dyDescent="0.25">
      <c r="A23" s="66"/>
      <c r="B23" s="11" t="s">
        <v>25</v>
      </c>
      <c r="C23" s="48" t="s">
        <v>17</v>
      </c>
      <c r="D23" s="49"/>
      <c r="E23" s="50" t="s">
        <v>20</v>
      </c>
      <c r="F23" s="22"/>
      <c r="G23" s="67" t="s">
        <v>104</v>
      </c>
      <c r="H23" s="48"/>
      <c r="I23" s="68"/>
      <c r="J23" s="52"/>
      <c r="K23" s="26"/>
      <c r="L23" s="26"/>
      <c r="M23" s="62">
        <f t="shared" si="2"/>
        <v>0</v>
      </c>
      <c r="N23" s="40"/>
      <c r="O23" s="62"/>
      <c r="P23" s="62"/>
      <c r="Q23" s="69">
        <f t="shared" si="1"/>
        <v>0</v>
      </c>
    </row>
    <row r="24" spans="1:17" s="3" customFormat="1" x14ac:dyDescent="0.25">
      <c r="A24" s="66"/>
      <c r="B24" s="11" t="s">
        <v>167</v>
      </c>
      <c r="C24" s="48" t="s">
        <v>17</v>
      </c>
      <c r="D24" s="49"/>
      <c r="E24" s="50" t="s">
        <v>20</v>
      </c>
      <c r="F24" s="22"/>
      <c r="G24" s="84" t="s">
        <v>102</v>
      </c>
      <c r="H24" s="48"/>
      <c r="I24" s="68"/>
      <c r="J24" s="52"/>
      <c r="K24" s="26"/>
      <c r="L24" s="26"/>
      <c r="M24" s="62">
        <f t="shared" si="2"/>
        <v>0</v>
      </c>
      <c r="N24" s="40"/>
      <c r="O24" s="62"/>
      <c r="P24" s="62"/>
      <c r="Q24" s="69"/>
    </row>
    <row r="25" spans="1:17" s="3" customFormat="1" x14ac:dyDescent="0.25">
      <c r="A25" s="66"/>
      <c r="B25" s="11" t="s">
        <v>26</v>
      </c>
      <c r="C25" s="48" t="s">
        <v>17</v>
      </c>
      <c r="D25" s="49"/>
      <c r="E25" s="50" t="s">
        <v>27</v>
      </c>
      <c r="F25" s="22"/>
      <c r="G25" s="23" t="s">
        <v>102</v>
      </c>
      <c r="H25" s="24"/>
      <c r="I25" s="25"/>
      <c r="J25" s="37"/>
      <c r="K25" s="26"/>
      <c r="L25" s="26"/>
      <c r="M25" s="62">
        <f t="shared" si="2"/>
        <v>0</v>
      </c>
      <c r="N25" s="40">
        <f>2</f>
        <v>2</v>
      </c>
      <c r="O25" s="28"/>
      <c r="P25" s="28"/>
      <c r="Q25" s="69">
        <f t="shared" si="1"/>
        <v>0</v>
      </c>
    </row>
    <row r="26" spans="1:17" s="4" customFormat="1" x14ac:dyDescent="0.25">
      <c r="A26" s="66"/>
      <c r="B26" s="11" t="s">
        <v>28</v>
      </c>
      <c r="C26" s="48" t="s">
        <v>17</v>
      </c>
      <c r="D26" s="49"/>
      <c r="E26" s="54" t="s">
        <v>29</v>
      </c>
      <c r="F26" s="22"/>
      <c r="G26" s="23" t="s">
        <v>102</v>
      </c>
      <c r="H26" s="24"/>
      <c r="I26" s="25"/>
      <c r="J26" s="37"/>
      <c r="K26" s="26"/>
      <c r="L26" s="26"/>
      <c r="M26" s="62">
        <f t="shared" si="2"/>
        <v>0</v>
      </c>
      <c r="N26" s="40"/>
      <c r="O26" s="28"/>
      <c r="P26" s="28"/>
      <c r="Q26" s="69">
        <f t="shared" si="1"/>
        <v>0</v>
      </c>
    </row>
    <row r="27" spans="1:17" s="4" customFormat="1" x14ac:dyDescent="0.25">
      <c r="A27" s="66"/>
      <c r="B27" s="11" t="s">
        <v>28</v>
      </c>
      <c r="C27" s="48" t="s">
        <v>17</v>
      </c>
      <c r="D27" s="49"/>
      <c r="E27" s="54" t="s">
        <v>29</v>
      </c>
      <c r="F27" s="22"/>
      <c r="G27" s="72" t="s">
        <v>107</v>
      </c>
      <c r="H27" s="48"/>
      <c r="I27" s="68"/>
      <c r="J27" s="37"/>
      <c r="K27" s="26"/>
      <c r="L27" s="26"/>
      <c r="M27" s="62">
        <f t="shared" si="2"/>
        <v>0</v>
      </c>
      <c r="N27" s="40"/>
      <c r="O27" s="62"/>
      <c r="P27" s="62"/>
      <c r="Q27" s="27">
        <f t="shared" si="1"/>
        <v>0</v>
      </c>
    </row>
    <row r="28" spans="1:17" s="4" customFormat="1" x14ac:dyDescent="0.25">
      <c r="A28" s="66"/>
      <c r="B28" s="70" t="s">
        <v>162</v>
      </c>
      <c r="C28" s="48" t="s">
        <v>17</v>
      </c>
      <c r="D28" s="49"/>
      <c r="E28" s="54"/>
      <c r="F28" s="22"/>
      <c r="G28" s="72" t="s">
        <v>102</v>
      </c>
      <c r="H28" s="48">
        <v>1</v>
      </c>
      <c r="I28" s="68"/>
      <c r="J28" s="37"/>
      <c r="K28" s="26"/>
      <c r="L28" s="26"/>
      <c r="M28" s="62">
        <f t="shared" si="2"/>
        <v>0</v>
      </c>
      <c r="N28" s="40"/>
      <c r="O28" s="62"/>
      <c r="P28" s="62"/>
      <c r="Q28" s="27">
        <f t="shared" si="1"/>
        <v>0</v>
      </c>
    </row>
    <row r="29" spans="1:17" s="3" customFormat="1" x14ac:dyDescent="0.25">
      <c r="A29" s="66"/>
      <c r="B29" s="7" t="s">
        <v>30</v>
      </c>
      <c r="C29" s="48" t="s">
        <v>17</v>
      </c>
      <c r="D29" s="49"/>
      <c r="E29" s="54" t="s">
        <v>21</v>
      </c>
      <c r="F29" s="22"/>
      <c r="G29" s="23" t="s">
        <v>102</v>
      </c>
      <c r="H29" s="24">
        <v>1</v>
      </c>
      <c r="I29" s="25"/>
      <c r="J29" s="37"/>
      <c r="K29" s="26"/>
      <c r="L29" s="26"/>
      <c r="M29" s="62">
        <f t="shared" si="2"/>
        <v>0</v>
      </c>
      <c r="N29" s="40">
        <f>3</f>
        <v>3</v>
      </c>
      <c r="O29" s="28"/>
      <c r="P29" s="28"/>
      <c r="Q29" s="27">
        <f>O29-P29</f>
        <v>0</v>
      </c>
    </row>
    <row r="30" spans="1:17" s="3" customFormat="1" x14ac:dyDescent="0.25">
      <c r="A30" s="66"/>
      <c r="B30" s="7" t="s">
        <v>158</v>
      </c>
      <c r="C30" s="48" t="s">
        <v>17</v>
      </c>
      <c r="D30" s="49"/>
      <c r="E30" s="50" t="s">
        <v>20</v>
      </c>
      <c r="F30" s="22"/>
      <c r="G30" s="23" t="s">
        <v>102</v>
      </c>
      <c r="H30" s="24"/>
      <c r="I30" s="25"/>
      <c r="J30" s="37"/>
      <c r="K30" s="26"/>
      <c r="L30" s="26"/>
      <c r="M30" s="62">
        <f t="shared" si="2"/>
        <v>0</v>
      </c>
      <c r="N30" s="40"/>
      <c r="O30" s="28"/>
      <c r="P30" s="28"/>
      <c r="Q30" s="27">
        <f t="shared" si="1"/>
        <v>0</v>
      </c>
    </row>
    <row r="31" spans="1:17" s="3" customFormat="1" x14ac:dyDescent="0.25">
      <c r="A31" s="66"/>
      <c r="B31" s="7" t="s">
        <v>158</v>
      </c>
      <c r="C31" s="48" t="s">
        <v>17</v>
      </c>
      <c r="D31" s="49"/>
      <c r="E31" s="50" t="s">
        <v>20</v>
      </c>
      <c r="F31" s="22"/>
      <c r="G31" s="23" t="s">
        <v>104</v>
      </c>
      <c r="H31" s="24"/>
      <c r="I31" s="25"/>
      <c r="J31" s="37"/>
      <c r="K31" s="26"/>
      <c r="L31" s="26"/>
      <c r="M31" s="62">
        <f t="shared" si="2"/>
        <v>0</v>
      </c>
      <c r="N31" s="40"/>
      <c r="O31" s="28"/>
      <c r="P31" s="28"/>
      <c r="Q31" s="69">
        <f t="shared" si="1"/>
        <v>0</v>
      </c>
    </row>
    <row r="32" spans="1:17" s="3" customFormat="1" x14ac:dyDescent="0.25">
      <c r="A32" s="66"/>
      <c r="B32" s="7" t="s">
        <v>158</v>
      </c>
      <c r="C32" s="48" t="s">
        <v>17</v>
      </c>
      <c r="D32" s="49"/>
      <c r="E32" s="50"/>
      <c r="F32" s="22"/>
      <c r="G32" s="72" t="s">
        <v>107</v>
      </c>
      <c r="H32" s="24"/>
      <c r="I32" s="25"/>
      <c r="J32" s="37"/>
      <c r="K32" s="26"/>
      <c r="L32" s="26"/>
      <c r="M32" s="62">
        <f t="shared" si="2"/>
        <v>0</v>
      </c>
      <c r="N32" s="40"/>
      <c r="O32" s="28"/>
      <c r="P32" s="28"/>
      <c r="Q32" s="69">
        <f t="shared" si="1"/>
        <v>0</v>
      </c>
    </row>
    <row r="33" spans="1:17" s="3" customFormat="1" x14ac:dyDescent="0.25">
      <c r="A33" s="66"/>
      <c r="B33" s="8" t="s">
        <v>31</v>
      </c>
      <c r="C33" s="48" t="s">
        <v>17</v>
      </c>
      <c r="D33" s="49"/>
      <c r="E33" s="50" t="s">
        <v>32</v>
      </c>
      <c r="F33" s="22"/>
      <c r="G33" s="23" t="s">
        <v>102</v>
      </c>
      <c r="H33" s="24"/>
      <c r="I33" s="25"/>
      <c r="J33" s="37"/>
      <c r="K33" s="26"/>
      <c r="L33" s="26"/>
      <c r="M33" s="62">
        <f t="shared" si="2"/>
        <v>0</v>
      </c>
      <c r="N33" s="40">
        <f>2</f>
        <v>2</v>
      </c>
      <c r="O33" s="28"/>
      <c r="P33" s="28"/>
      <c r="Q33" s="69">
        <f t="shared" si="1"/>
        <v>0</v>
      </c>
    </row>
    <row r="34" spans="1:17" s="3" customFormat="1" x14ac:dyDescent="0.25">
      <c r="A34" s="66"/>
      <c r="B34" s="8" t="s">
        <v>31</v>
      </c>
      <c r="C34" s="48" t="s">
        <v>17</v>
      </c>
      <c r="D34" s="49"/>
      <c r="E34" s="50" t="s">
        <v>32</v>
      </c>
      <c r="F34" s="22"/>
      <c r="G34" s="72" t="s">
        <v>107</v>
      </c>
      <c r="H34" s="48"/>
      <c r="I34" s="68"/>
      <c r="J34" s="37"/>
      <c r="K34" s="26"/>
      <c r="L34" s="26"/>
      <c r="M34" s="62">
        <f t="shared" si="2"/>
        <v>0</v>
      </c>
      <c r="N34" s="40"/>
      <c r="O34" s="26"/>
      <c r="P34" s="26"/>
      <c r="Q34" s="69">
        <f t="shared" si="1"/>
        <v>0</v>
      </c>
    </row>
    <row r="35" spans="1:17" s="4" customFormat="1" x14ac:dyDescent="0.25">
      <c r="A35" s="66"/>
      <c r="B35" s="11" t="s">
        <v>33</v>
      </c>
      <c r="C35" s="48" t="s">
        <v>17</v>
      </c>
      <c r="D35" s="49"/>
      <c r="E35" s="50" t="s">
        <v>20</v>
      </c>
      <c r="F35" s="22"/>
      <c r="G35" s="23" t="s">
        <v>102</v>
      </c>
      <c r="H35" s="24"/>
      <c r="I35" s="25"/>
      <c r="J35" s="37"/>
      <c r="K35" s="26"/>
      <c r="L35" s="26"/>
      <c r="M35" s="62">
        <f t="shared" si="2"/>
        <v>0</v>
      </c>
      <c r="N35" s="40"/>
      <c r="O35" s="28"/>
      <c r="P35" s="28"/>
      <c r="Q35" s="27">
        <f t="shared" si="1"/>
        <v>0</v>
      </c>
    </row>
    <row r="36" spans="1:17" s="4" customFormat="1" x14ac:dyDescent="0.25">
      <c r="A36" s="66"/>
      <c r="B36" s="11" t="s">
        <v>33</v>
      </c>
      <c r="C36" s="48" t="s">
        <v>17</v>
      </c>
      <c r="D36" s="49"/>
      <c r="E36" s="50" t="s">
        <v>20</v>
      </c>
      <c r="F36" s="22"/>
      <c r="G36" s="67" t="s">
        <v>104</v>
      </c>
      <c r="H36" s="48"/>
      <c r="I36" s="68"/>
      <c r="J36" s="52"/>
      <c r="K36" s="26"/>
      <c r="L36" s="26"/>
      <c r="M36" s="62">
        <f t="shared" si="2"/>
        <v>0</v>
      </c>
      <c r="N36" s="40"/>
      <c r="O36" s="62"/>
      <c r="P36" s="62"/>
      <c r="Q36" s="69">
        <f t="shared" si="1"/>
        <v>0</v>
      </c>
    </row>
    <row r="37" spans="1:17" s="4" customFormat="1" x14ac:dyDescent="0.25">
      <c r="A37" s="66"/>
      <c r="B37" s="11" t="s">
        <v>122</v>
      </c>
      <c r="C37" s="48" t="s">
        <v>17</v>
      </c>
      <c r="D37" s="49"/>
      <c r="E37" s="50" t="s">
        <v>29</v>
      </c>
      <c r="F37" s="22"/>
      <c r="G37" s="23" t="s">
        <v>102</v>
      </c>
      <c r="H37" s="24"/>
      <c r="I37" s="71"/>
      <c r="J37" s="37"/>
      <c r="K37" s="26"/>
      <c r="L37" s="26"/>
      <c r="M37" s="62">
        <f t="shared" si="2"/>
        <v>0</v>
      </c>
      <c r="N37" s="43"/>
      <c r="O37" s="28"/>
      <c r="P37" s="28"/>
      <c r="Q37" s="27">
        <f t="shared" si="1"/>
        <v>0</v>
      </c>
    </row>
    <row r="38" spans="1:17" s="4" customFormat="1" x14ac:dyDescent="0.25">
      <c r="A38" s="66"/>
      <c r="B38" s="70" t="s">
        <v>122</v>
      </c>
      <c r="C38" s="48" t="s">
        <v>17</v>
      </c>
      <c r="D38" s="49"/>
      <c r="E38" s="50" t="s">
        <v>29</v>
      </c>
      <c r="F38" s="22"/>
      <c r="G38" s="67" t="s">
        <v>107</v>
      </c>
      <c r="H38" s="48"/>
      <c r="I38" s="68"/>
      <c r="J38" s="37"/>
      <c r="K38" s="26"/>
      <c r="L38" s="26"/>
      <c r="M38" s="62">
        <f t="shared" si="2"/>
        <v>0</v>
      </c>
      <c r="N38" s="40"/>
      <c r="O38" s="62"/>
      <c r="P38" s="62"/>
      <c r="Q38" s="69">
        <f t="shared" si="1"/>
        <v>0</v>
      </c>
    </row>
    <row r="39" spans="1:17" s="3" customFormat="1" x14ac:dyDescent="0.25">
      <c r="A39" s="66"/>
      <c r="B39" s="11" t="s">
        <v>34</v>
      </c>
      <c r="C39" s="48" t="s">
        <v>17</v>
      </c>
      <c r="D39" s="49"/>
      <c r="E39" s="54" t="s">
        <v>35</v>
      </c>
      <c r="F39" s="22"/>
      <c r="G39" s="23" t="s">
        <v>102</v>
      </c>
      <c r="H39" s="24"/>
      <c r="I39" s="25"/>
      <c r="J39" s="37"/>
      <c r="K39" s="26"/>
      <c r="L39" s="26"/>
      <c r="M39" s="62">
        <f t="shared" si="2"/>
        <v>0</v>
      </c>
      <c r="N39" s="40"/>
      <c r="O39" s="28"/>
      <c r="P39" s="28"/>
      <c r="Q39" s="27">
        <f t="shared" si="1"/>
        <v>0</v>
      </c>
    </row>
    <row r="40" spans="1:17" s="3" customFormat="1" x14ac:dyDescent="0.25">
      <c r="A40" s="66"/>
      <c r="B40" s="11" t="s">
        <v>34</v>
      </c>
      <c r="C40" s="48" t="s">
        <v>17</v>
      </c>
      <c r="D40" s="49"/>
      <c r="E40" s="54" t="s">
        <v>35</v>
      </c>
      <c r="F40" s="22"/>
      <c r="G40" s="72" t="s">
        <v>107</v>
      </c>
      <c r="H40" s="48"/>
      <c r="I40" s="68"/>
      <c r="J40" s="37"/>
      <c r="K40" s="26"/>
      <c r="L40" s="26"/>
      <c r="M40" s="62">
        <f t="shared" si="2"/>
        <v>0</v>
      </c>
      <c r="N40" s="40"/>
      <c r="O40" s="62"/>
      <c r="P40" s="62"/>
      <c r="Q40" s="69">
        <f t="shared" si="1"/>
        <v>0</v>
      </c>
    </row>
    <row r="41" spans="1:17" s="3" customFormat="1" x14ac:dyDescent="0.25">
      <c r="A41" s="66"/>
      <c r="B41" s="7" t="s">
        <v>36</v>
      </c>
      <c r="C41" s="48" t="s">
        <v>17</v>
      </c>
      <c r="D41" s="49"/>
      <c r="E41" s="54" t="s">
        <v>32</v>
      </c>
      <c r="F41" s="22"/>
      <c r="G41" s="23" t="s">
        <v>102</v>
      </c>
      <c r="H41" s="24"/>
      <c r="I41" s="25"/>
      <c r="J41" s="37"/>
      <c r="K41" s="26"/>
      <c r="L41" s="26"/>
      <c r="M41" s="62">
        <f t="shared" si="2"/>
        <v>0</v>
      </c>
      <c r="N41" s="40">
        <f>3</f>
        <v>3</v>
      </c>
      <c r="O41" s="28"/>
      <c r="P41" s="28"/>
      <c r="Q41" s="27">
        <f t="shared" si="1"/>
        <v>0</v>
      </c>
    </row>
    <row r="42" spans="1:17" s="3" customFormat="1" x14ac:dyDescent="0.25">
      <c r="A42" s="66"/>
      <c r="B42" s="7" t="s">
        <v>37</v>
      </c>
      <c r="C42" s="48" t="s">
        <v>17</v>
      </c>
      <c r="D42" s="49"/>
      <c r="E42" s="50" t="s">
        <v>20</v>
      </c>
      <c r="F42" s="22"/>
      <c r="G42" s="23" t="s">
        <v>102</v>
      </c>
      <c r="H42" s="24"/>
      <c r="I42" s="25"/>
      <c r="J42" s="37"/>
      <c r="K42" s="26"/>
      <c r="L42" s="26"/>
      <c r="M42" s="62">
        <f t="shared" si="2"/>
        <v>0</v>
      </c>
      <c r="N42" s="40">
        <f>1</f>
        <v>1</v>
      </c>
      <c r="O42" s="28"/>
      <c r="P42" s="28"/>
      <c r="Q42" s="27">
        <f t="shared" si="1"/>
        <v>0</v>
      </c>
    </row>
    <row r="43" spans="1:17" s="3" customFormat="1" x14ac:dyDescent="0.25">
      <c r="A43" s="66"/>
      <c r="B43" s="7" t="s">
        <v>37</v>
      </c>
      <c r="C43" s="48" t="s">
        <v>17</v>
      </c>
      <c r="D43" s="49"/>
      <c r="E43" s="50" t="s">
        <v>20</v>
      </c>
      <c r="F43" s="22"/>
      <c r="G43" s="67" t="s">
        <v>104</v>
      </c>
      <c r="H43" s="48"/>
      <c r="I43" s="68"/>
      <c r="J43" s="52"/>
      <c r="K43" s="26"/>
      <c r="L43" s="26"/>
      <c r="M43" s="62">
        <f t="shared" si="2"/>
        <v>0</v>
      </c>
      <c r="N43" s="40"/>
      <c r="O43" s="62"/>
      <c r="P43" s="62"/>
      <c r="Q43" s="69">
        <f t="shared" si="1"/>
        <v>0</v>
      </c>
    </row>
    <row r="44" spans="1:17" s="3" customFormat="1" x14ac:dyDescent="0.25">
      <c r="A44" s="66"/>
      <c r="B44" s="7" t="s">
        <v>37</v>
      </c>
      <c r="C44" s="48" t="s">
        <v>17</v>
      </c>
      <c r="D44" s="49"/>
      <c r="E44" s="50" t="s">
        <v>18</v>
      </c>
      <c r="F44" s="22"/>
      <c r="G44" s="67" t="s">
        <v>106</v>
      </c>
      <c r="H44" s="48"/>
      <c r="I44" s="68"/>
      <c r="J44" s="52"/>
      <c r="K44" s="26"/>
      <c r="L44" s="26"/>
      <c r="M44" s="62">
        <f t="shared" si="2"/>
        <v>0</v>
      </c>
      <c r="N44" s="40"/>
      <c r="O44" s="62"/>
      <c r="P44" s="62"/>
      <c r="Q44" s="69">
        <f t="shared" si="1"/>
        <v>0</v>
      </c>
    </row>
    <row r="45" spans="1:17" s="3" customFormat="1" x14ac:dyDescent="0.25">
      <c r="A45" s="66"/>
      <c r="B45" s="11" t="s">
        <v>38</v>
      </c>
      <c r="C45" s="48" t="s">
        <v>17</v>
      </c>
      <c r="D45" s="49"/>
      <c r="E45" s="50" t="s">
        <v>20</v>
      </c>
      <c r="F45" s="22"/>
      <c r="G45" s="67" t="s">
        <v>104</v>
      </c>
      <c r="H45" s="48"/>
      <c r="I45" s="68"/>
      <c r="J45" s="52"/>
      <c r="K45" s="26"/>
      <c r="L45" s="26"/>
      <c r="M45" s="62">
        <f t="shared" si="2"/>
        <v>0</v>
      </c>
      <c r="N45" s="40"/>
      <c r="O45" s="62"/>
      <c r="P45" s="62"/>
      <c r="Q45" s="69">
        <f t="shared" si="1"/>
        <v>0</v>
      </c>
    </row>
    <row r="46" spans="1:17" s="3" customFormat="1" x14ac:dyDescent="0.25">
      <c r="A46" s="66"/>
      <c r="B46" s="7" t="s">
        <v>39</v>
      </c>
      <c r="C46" s="48" t="s">
        <v>17</v>
      </c>
      <c r="D46" s="49"/>
      <c r="E46" s="54" t="s">
        <v>40</v>
      </c>
      <c r="F46" s="22"/>
      <c r="G46" s="23" t="s">
        <v>102</v>
      </c>
      <c r="H46" s="24"/>
      <c r="I46" s="25"/>
      <c r="J46" s="37"/>
      <c r="K46" s="26"/>
      <c r="L46" s="26"/>
      <c r="M46" s="62">
        <f t="shared" si="2"/>
        <v>0</v>
      </c>
      <c r="N46" s="40">
        <f>2</f>
        <v>2</v>
      </c>
      <c r="O46" s="28"/>
      <c r="P46" s="28"/>
      <c r="Q46" s="27">
        <f t="shared" si="1"/>
        <v>0</v>
      </c>
    </row>
    <row r="47" spans="1:17" s="3" customFormat="1" x14ac:dyDescent="0.25">
      <c r="A47" s="66"/>
      <c r="B47" s="7" t="s">
        <v>39</v>
      </c>
      <c r="C47" s="48" t="s">
        <v>17</v>
      </c>
      <c r="D47" s="49"/>
      <c r="E47" s="54" t="s">
        <v>40</v>
      </c>
      <c r="F47" s="22"/>
      <c r="G47" s="67" t="s">
        <v>104</v>
      </c>
      <c r="H47" s="48"/>
      <c r="I47" s="68"/>
      <c r="J47" s="52"/>
      <c r="K47" s="26"/>
      <c r="L47" s="26"/>
      <c r="M47" s="62">
        <f t="shared" si="2"/>
        <v>0</v>
      </c>
      <c r="N47" s="40"/>
      <c r="O47" s="62"/>
      <c r="P47" s="62"/>
      <c r="Q47" s="69">
        <f t="shared" si="1"/>
        <v>0</v>
      </c>
    </row>
    <row r="48" spans="1:17" s="3" customFormat="1" x14ac:dyDescent="0.25">
      <c r="A48" s="66"/>
      <c r="B48" s="7" t="s">
        <v>123</v>
      </c>
      <c r="C48" s="48" t="s">
        <v>17</v>
      </c>
      <c r="D48" s="49"/>
      <c r="E48" s="50" t="s">
        <v>20</v>
      </c>
      <c r="F48" s="22"/>
      <c r="G48" s="23" t="s">
        <v>102</v>
      </c>
      <c r="H48" s="24"/>
      <c r="I48" s="29"/>
      <c r="J48" s="37"/>
      <c r="K48" s="26"/>
      <c r="L48" s="26"/>
      <c r="M48" s="62">
        <f t="shared" si="2"/>
        <v>0</v>
      </c>
      <c r="N48" s="40">
        <f>2</f>
        <v>2</v>
      </c>
      <c r="O48" s="28"/>
      <c r="P48" s="28"/>
      <c r="Q48" s="27">
        <f t="shared" si="1"/>
        <v>0</v>
      </c>
    </row>
    <row r="49" spans="1:17" s="3" customFormat="1" x14ac:dyDescent="0.25">
      <c r="A49" s="66"/>
      <c r="B49" s="7" t="s">
        <v>123</v>
      </c>
      <c r="C49" s="48" t="s">
        <v>17</v>
      </c>
      <c r="D49" s="49"/>
      <c r="E49" s="54" t="s">
        <v>32</v>
      </c>
      <c r="F49" s="22"/>
      <c r="G49" s="67" t="s">
        <v>107</v>
      </c>
      <c r="H49" s="48"/>
      <c r="I49" s="68"/>
      <c r="J49" s="37"/>
      <c r="K49" s="26"/>
      <c r="L49" s="26"/>
      <c r="M49" s="62">
        <f t="shared" si="2"/>
        <v>0</v>
      </c>
      <c r="N49" s="40"/>
      <c r="O49" s="62"/>
      <c r="P49" s="62"/>
      <c r="Q49" s="69">
        <f t="shared" si="1"/>
        <v>0</v>
      </c>
    </row>
    <row r="50" spans="1:17" s="3" customFormat="1" x14ac:dyDescent="0.25">
      <c r="A50" s="66"/>
      <c r="B50" s="8" t="s">
        <v>41</v>
      </c>
      <c r="C50" s="48" t="s">
        <v>17</v>
      </c>
      <c r="D50" s="49"/>
      <c r="E50" s="50" t="s">
        <v>23</v>
      </c>
      <c r="F50" s="22"/>
      <c r="G50" s="23" t="s">
        <v>102</v>
      </c>
      <c r="H50" s="24"/>
      <c r="I50" s="25"/>
      <c r="J50" s="37"/>
      <c r="K50" s="26"/>
      <c r="L50" s="26"/>
      <c r="M50" s="62">
        <f t="shared" si="2"/>
        <v>0</v>
      </c>
      <c r="N50" s="40"/>
      <c r="O50" s="28"/>
      <c r="P50" s="28"/>
      <c r="Q50" s="27">
        <f t="shared" si="1"/>
        <v>0</v>
      </c>
    </row>
    <row r="51" spans="1:17" s="3" customFormat="1" x14ac:dyDescent="0.25">
      <c r="A51" s="66"/>
      <c r="B51" s="8" t="s">
        <v>41</v>
      </c>
      <c r="C51" s="48" t="s">
        <v>17</v>
      </c>
      <c r="D51" s="49"/>
      <c r="E51" s="50" t="s">
        <v>23</v>
      </c>
      <c r="F51" s="22"/>
      <c r="G51" s="67" t="s">
        <v>108</v>
      </c>
      <c r="H51" s="48"/>
      <c r="I51" s="68"/>
      <c r="J51" s="37"/>
      <c r="K51" s="26"/>
      <c r="L51" s="26"/>
      <c r="M51" s="62">
        <f t="shared" si="2"/>
        <v>0</v>
      </c>
      <c r="N51" s="40"/>
      <c r="O51" s="62"/>
      <c r="P51" s="62"/>
      <c r="Q51" s="69">
        <f t="shared" si="1"/>
        <v>0</v>
      </c>
    </row>
    <row r="52" spans="1:17" s="3" customFormat="1" x14ac:dyDescent="0.25">
      <c r="A52" s="66"/>
      <c r="B52" s="8" t="s">
        <v>134</v>
      </c>
      <c r="C52" s="48" t="s">
        <v>17</v>
      </c>
      <c r="D52" s="49"/>
      <c r="E52" s="67" t="s">
        <v>108</v>
      </c>
      <c r="F52" s="22"/>
      <c r="G52" s="23" t="s">
        <v>102</v>
      </c>
      <c r="H52" s="24"/>
      <c r="I52" s="25"/>
      <c r="J52" s="37"/>
      <c r="K52" s="26"/>
      <c r="L52" s="26"/>
      <c r="M52" s="62">
        <f t="shared" si="2"/>
        <v>0</v>
      </c>
      <c r="N52" s="40"/>
      <c r="O52" s="28"/>
      <c r="P52" s="28"/>
      <c r="Q52" s="27">
        <f t="shared" si="1"/>
        <v>0</v>
      </c>
    </row>
    <row r="53" spans="1:17" s="3" customFormat="1" x14ac:dyDescent="0.25">
      <c r="A53" s="66"/>
      <c r="B53" s="11" t="s">
        <v>118</v>
      </c>
      <c r="C53" s="48" t="s">
        <v>62</v>
      </c>
      <c r="D53" s="49" t="s">
        <v>151</v>
      </c>
      <c r="E53" s="50" t="s">
        <v>20</v>
      </c>
      <c r="F53" s="22"/>
      <c r="G53" s="67" t="s">
        <v>104</v>
      </c>
      <c r="H53" s="48"/>
      <c r="I53" s="71"/>
      <c r="J53" s="52"/>
      <c r="K53" s="53"/>
      <c r="L53" s="53"/>
      <c r="M53" s="62">
        <f t="shared" si="2"/>
        <v>0</v>
      </c>
      <c r="N53" s="43"/>
      <c r="O53" s="62"/>
      <c r="P53" s="62"/>
      <c r="Q53" s="69">
        <f t="shared" si="1"/>
        <v>0</v>
      </c>
    </row>
    <row r="54" spans="1:17" s="3" customFormat="1" x14ac:dyDescent="0.25">
      <c r="A54" s="66"/>
      <c r="B54" s="8" t="s">
        <v>133</v>
      </c>
      <c r="C54" s="48" t="s">
        <v>17</v>
      </c>
      <c r="D54" s="49"/>
      <c r="E54" s="54" t="s">
        <v>32</v>
      </c>
      <c r="F54" s="22"/>
      <c r="G54" s="67" t="s">
        <v>107</v>
      </c>
      <c r="H54" s="48"/>
      <c r="I54" s="71"/>
      <c r="J54" s="52"/>
      <c r="K54" s="53"/>
      <c r="L54" s="53"/>
      <c r="M54" s="62">
        <f t="shared" si="2"/>
        <v>0</v>
      </c>
      <c r="N54" s="43"/>
      <c r="O54" s="62"/>
      <c r="P54" s="62"/>
      <c r="Q54" s="69">
        <f t="shared" si="1"/>
        <v>0</v>
      </c>
    </row>
    <row r="55" spans="1:17" s="4" customFormat="1" x14ac:dyDescent="0.25">
      <c r="A55" s="66"/>
      <c r="B55" s="11" t="s">
        <v>42</v>
      </c>
      <c r="C55" s="48" t="s">
        <v>17</v>
      </c>
      <c r="D55" s="49"/>
      <c r="E55" s="50" t="s">
        <v>18</v>
      </c>
      <c r="F55" s="22"/>
      <c r="G55" s="23" t="s">
        <v>102</v>
      </c>
      <c r="H55" s="24"/>
      <c r="I55" s="25"/>
      <c r="J55" s="37"/>
      <c r="K55" s="26"/>
      <c r="L55" s="26"/>
      <c r="M55" s="62">
        <f t="shared" si="2"/>
        <v>0</v>
      </c>
      <c r="N55" s="40"/>
      <c r="O55" s="28"/>
      <c r="P55" s="28"/>
      <c r="Q55" s="27">
        <f t="shared" si="1"/>
        <v>0</v>
      </c>
    </row>
    <row r="56" spans="1:17" s="4" customFormat="1" ht="30" x14ac:dyDescent="0.25">
      <c r="A56" s="66"/>
      <c r="B56" s="11" t="s">
        <v>42</v>
      </c>
      <c r="C56" s="48" t="s">
        <v>135</v>
      </c>
      <c r="D56" s="49" t="s">
        <v>153</v>
      </c>
      <c r="E56" s="50" t="s">
        <v>18</v>
      </c>
      <c r="F56" s="22"/>
      <c r="G56" s="80" t="s">
        <v>106</v>
      </c>
      <c r="H56" s="48"/>
      <c r="I56" s="71"/>
      <c r="J56" s="38"/>
      <c r="K56" s="26"/>
      <c r="L56" s="26"/>
      <c r="M56" s="62">
        <f t="shared" si="2"/>
        <v>0</v>
      </c>
      <c r="N56" s="43"/>
      <c r="O56" s="62"/>
      <c r="P56" s="62"/>
      <c r="Q56" s="69">
        <f t="shared" si="1"/>
        <v>0</v>
      </c>
    </row>
    <row r="57" spans="1:17" s="3" customFormat="1" x14ac:dyDescent="0.25">
      <c r="A57" s="66"/>
      <c r="B57" s="8" t="s">
        <v>43</v>
      </c>
      <c r="C57" s="48" t="s">
        <v>17</v>
      </c>
      <c r="D57" s="49"/>
      <c r="E57" s="50" t="s">
        <v>20</v>
      </c>
      <c r="F57" s="22"/>
      <c r="G57" s="23" t="s">
        <v>102</v>
      </c>
      <c r="H57" s="24"/>
      <c r="I57" s="25"/>
      <c r="J57" s="37"/>
      <c r="K57" s="26"/>
      <c r="L57" s="26"/>
      <c r="M57" s="62">
        <f t="shared" si="2"/>
        <v>0</v>
      </c>
      <c r="N57" s="40">
        <f>1</f>
        <v>1</v>
      </c>
      <c r="O57" s="28"/>
      <c r="P57" s="28"/>
      <c r="Q57" s="27">
        <f t="shared" si="1"/>
        <v>0</v>
      </c>
    </row>
    <row r="58" spans="1:17" s="3" customFormat="1" x14ac:dyDescent="0.25">
      <c r="A58" s="66"/>
      <c r="B58" s="8" t="s">
        <v>43</v>
      </c>
      <c r="C58" s="48" t="s">
        <v>17</v>
      </c>
      <c r="D58" s="49"/>
      <c r="E58" s="50" t="s">
        <v>20</v>
      </c>
      <c r="F58" s="22"/>
      <c r="G58" s="67" t="s">
        <v>104</v>
      </c>
      <c r="H58" s="48"/>
      <c r="I58" s="68"/>
      <c r="J58" s="52"/>
      <c r="K58" s="26"/>
      <c r="L58" s="26"/>
      <c r="M58" s="62">
        <f t="shared" si="2"/>
        <v>0</v>
      </c>
      <c r="N58" s="40"/>
      <c r="O58" s="62"/>
      <c r="P58" s="62"/>
      <c r="Q58" s="69">
        <f t="shared" si="1"/>
        <v>0</v>
      </c>
    </row>
    <row r="59" spans="1:17" s="3" customFormat="1" x14ac:dyDescent="0.25">
      <c r="A59" s="66"/>
      <c r="B59" s="8" t="s">
        <v>159</v>
      </c>
      <c r="C59" s="48" t="s">
        <v>17</v>
      </c>
      <c r="D59" s="49"/>
      <c r="E59" s="50" t="s">
        <v>20</v>
      </c>
      <c r="F59" s="22"/>
      <c r="G59" s="67" t="s">
        <v>102</v>
      </c>
      <c r="H59" s="48"/>
      <c r="I59" s="68"/>
      <c r="J59" s="52"/>
      <c r="K59" s="26"/>
      <c r="L59" s="26"/>
      <c r="M59" s="62">
        <f t="shared" si="2"/>
        <v>0</v>
      </c>
      <c r="N59" s="40"/>
      <c r="O59" s="62"/>
      <c r="P59" s="62"/>
      <c r="Q59" s="27">
        <f t="shared" si="1"/>
        <v>0</v>
      </c>
    </row>
    <row r="60" spans="1:17" s="3" customFormat="1" x14ac:dyDescent="0.25">
      <c r="A60" s="66"/>
      <c r="B60" s="7" t="s">
        <v>44</v>
      </c>
      <c r="C60" s="48" t="s">
        <v>17</v>
      </c>
      <c r="D60" s="49"/>
      <c r="E60" s="50" t="s">
        <v>20</v>
      </c>
      <c r="F60" s="22"/>
      <c r="G60" s="23" t="s">
        <v>102</v>
      </c>
      <c r="H60" s="24"/>
      <c r="I60" s="25"/>
      <c r="J60" s="37"/>
      <c r="K60" s="26"/>
      <c r="L60" s="26"/>
      <c r="M60" s="62">
        <f t="shared" si="2"/>
        <v>0</v>
      </c>
      <c r="N60" s="40"/>
      <c r="O60" s="28"/>
      <c r="P60" s="28"/>
      <c r="Q60" s="27">
        <f t="shared" si="1"/>
        <v>0</v>
      </c>
    </row>
    <row r="61" spans="1:17" s="3" customFormat="1" x14ac:dyDescent="0.25">
      <c r="A61" s="66"/>
      <c r="B61" s="7" t="s">
        <v>44</v>
      </c>
      <c r="C61" s="48" t="s">
        <v>17</v>
      </c>
      <c r="D61" s="49"/>
      <c r="E61" s="50" t="s">
        <v>20</v>
      </c>
      <c r="F61" s="22"/>
      <c r="G61" s="67" t="s">
        <v>104</v>
      </c>
      <c r="H61" s="48"/>
      <c r="I61" s="68"/>
      <c r="J61" s="52"/>
      <c r="K61" s="26"/>
      <c r="L61" s="26"/>
      <c r="M61" s="62">
        <f t="shared" si="2"/>
        <v>0</v>
      </c>
      <c r="N61" s="40"/>
      <c r="O61" s="62"/>
      <c r="P61" s="62"/>
      <c r="Q61" s="69">
        <f t="shared" si="1"/>
        <v>0</v>
      </c>
    </row>
    <row r="62" spans="1:17" s="4" customFormat="1" x14ac:dyDescent="0.25">
      <c r="A62" s="66"/>
      <c r="B62" s="7" t="s">
        <v>45</v>
      </c>
      <c r="C62" s="48" t="s">
        <v>17</v>
      </c>
      <c r="D62" s="49"/>
      <c r="E62" s="50" t="s">
        <v>20</v>
      </c>
      <c r="F62" s="22"/>
      <c r="G62" s="23" t="s">
        <v>102</v>
      </c>
      <c r="H62" s="24">
        <v>1</v>
      </c>
      <c r="I62" s="25"/>
      <c r="J62" s="37"/>
      <c r="K62" s="26"/>
      <c r="L62" s="26"/>
      <c r="M62" s="62">
        <f t="shared" si="2"/>
        <v>0</v>
      </c>
      <c r="N62" s="40">
        <f>4</f>
        <v>4</v>
      </c>
      <c r="O62" s="28"/>
      <c r="P62" s="28"/>
      <c r="Q62" s="27">
        <f t="shared" si="1"/>
        <v>0</v>
      </c>
    </row>
    <row r="63" spans="1:17" s="4" customFormat="1" x14ac:dyDescent="0.25">
      <c r="A63" s="66"/>
      <c r="B63" s="7" t="s">
        <v>45</v>
      </c>
      <c r="C63" s="48" t="s">
        <v>17</v>
      </c>
      <c r="D63" s="49"/>
      <c r="E63" s="50" t="s">
        <v>20</v>
      </c>
      <c r="F63" s="22"/>
      <c r="G63" s="67" t="s">
        <v>104</v>
      </c>
      <c r="H63" s="48"/>
      <c r="I63" s="68"/>
      <c r="J63" s="52"/>
      <c r="K63" s="26"/>
      <c r="L63" s="26"/>
      <c r="M63" s="62">
        <f t="shared" si="2"/>
        <v>0</v>
      </c>
      <c r="N63" s="40"/>
      <c r="O63" s="62"/>
      <c r="P63" s="62"/>
      <c r="Q63" s="69">
        <f t="shared" si="1"/>
        <v>0</v>
      </c>
    </row>
    <row r="64" spans="1:17" s="3" customFormat="1" ht="45" x14ac:dyDescent="0.25">
      <c r="A64" s="66"/>
      <c r="B64" s="8" t="s">
        <v>46</v>
      </c>
      <c r="C64" s="48" t="s">
        <v>135</v>
      </c>
      <c r="D64" s="49" t="s">
        <v>154</v>
      </c>
      <c r="E64" s="50" t="s">
        <v>18</v>
      </c>
      <c r="F64" s="22"/>
      <c r="G64" s="23" t="s">
        <v>102</v>
      </c>
      <c r="H64" s="24"/>
      <c r="I64" s="25"/>
      <c r="J64" s="38"/>
      <c r="K64" s="26"/>
      <c r="L64" s="26"/>
      <c r="M64" s="62">
        <f t="shared" si="2"/>
        <v>0</v>
      </c>
      <c r="N64" s="40"/>
      <c r="O64" s="28"/>
      <c r="P64" s="28"/>
      <c r="Q64" s="27">
        <f t="shared" si="1"/>
        <v>0</v>
      </c>
    </row>
    <row r="65" spans="1:17" s="3" customFormat="1" ht="45" x14ac:dyDescent="0.25">
      <c r="A65" s="66">
        <v>22</v>
      </c>
      <c r="B65" s="11" t="s">
        <v>109</v>
      </c>
      <c r="C65" s="48" t="s">
        <v>135</v>
      </c>
      <c r="D65" s="49" t="s">
        <v>154</v>
      </c>
      <c r="E65" s="50" t="s">
        <v>18</v>
      </c>
      <c r="F65" s="22"/>
      <c r="G65" s="67" t="s">
        <v>106</v>
      </c>
      <c r="H65" s="48">
        <v>1</v>
      </c>
      <c r="I65" s="71"/>
      <c r="J65" s="38"/>
      <c r="K65" s="26"/>
      <c r="L65" s="26"/>
      <c r="M65" s="62">
        <f t="shared" si="2"/>
        <v>0</v>
      </c>
      <c r="N65" s="40"/>
      <c r="O65" s="62"/>
      <c r="P65" s="62"/>
      <c r="Q65" s="69">
        <f t="shared" si="1"/>
        <v>0</v>
      </c>
    </row>
    <row r="66" spans="1:17" s="3" customFormat="1" x14ac:dyDescent="0.25">
      <c r="A66" s="66"/>
      <c r="B66" s="8" t="s">
        <v>114</v>
      </c>
      <c r="C66" s="48" t="s">
        <v>17</v>
      </c>
      <c r="D66" s="49"/>
      <c r="E66" s="50" t="s">
        <v>20</v>
      </c>
      <c r="F66" s="22"/>
      <c r="G66" s="23" t="s">
        <v>102</v>
      </c>
      <c r="H66" s="24"/>
      <c r="I66" s="25"/>
      <c r="J66" s="37"/>
      <c r="K66" s="26"/>
      <c r="L66" s="26"/>
      <c r="M66" s="62">
        <f t="shared" si="2"/>
        <v>0</v>
      </c>
      <c r="N66" s="40"/>
      <c r="O66" s="28"/>
      <c r="P66" s="28"/>
      <c r="Q66" s="27">
        <f t="shared" si="1"/>
        <v>0</v>
      </c>
    </row>
    <row r="67" spans="1:17" s="3" customFormat="1" x14ac:dyDescent="0.25">
      <c r="A67" s="66"/>
      <c r="B67" s="8" t="s">
        <v>114</v>
      </c>
      <c r="C67" s="48" t="s">
        <v>17</v>
      </c>
      <c r="D67" s="49"/>
      <c r="E67" s="50" t="s">
        <v>20</v>
      </c>
      <c r="F67" s="22"/>
      <c r="G67" s="67" t="s">
        <v>104</v>
      </c>
      <c r="H67" s="48"/>
      <c r="I67" s="68"/>
      <c r="J67" s="52"/>
      <c r="K67" s="26"/>
      <c r="L67" s="26"/>
      <c r="M67" s="62">
        <f t="shared" si="2"/>
        <v>0</v>
      </c>
      <c r="N67" s="40"/>
      <c r="O67" s="62"/>
      <c r="P67" s="62"/>
      <c r="Q67" s="69">
        <f t="shared" si="1"/>
        <v>0</v>
      </c>
    </row>
    <row r="68" spans="1:17" s="3" customFormat="1" x14ac:dyDescent="0.25">
      <c r="A68" s="66"/>
      <c r="B68" s="11" t="s">
        <v>47</v>
      </c>
      <c r="C68" s="48" t="s">
        <v>17</v>
      </c>
      <c r="D68" s="49"/>
      <c r="E68" s="50" t="s">
        <v>20</v>
      </c>
      <c r="F68" s="22"/>
      <c r="G68" s="23" t="s">
        <v>102</v>
      </c>
      <c r="H68" s="24"/>
      <c r="I68" s="25"/>
      <c r="J68" s="37"/>
      <c r="K68" s="26"/>
      <c r="L68" s="26"/>
      <c r="M68" s="62">
        <f t="shared" si="2"/>
        <v>0</v>
      </c>
      <c r="N68" s="40">
        <f>2</f>
        <v>2</v>
      </c>
      <c r="O68" s="28"/>
      <c r="P68" s="28"/>
      <c r="Q68" s="27">
        <f t="shared" si="1"/>
        <v>0</v>
      </c>
    </row>
    <row r="69" spans="1:17" s="3" customFormat="1" x14ac:dyDescent="0.25">
      <c r="A69" s="66"/>
      <c r="B69" s="11" t="s">
        <v>48</v>
      </c>
      <c r="C69" s="48" t="s">
        <v>17</v>
      </c>
      <c r="D69" s="49"/>
      <c r="E69" s="50" t="s">
        <v>49</v>
      </c>
      <c r="F69" s="22"/>
      <c r="G69" s="23" t="s">
        <v>102</v>
      </c>
      <c r="H69" s="24"/>
      <c r="I69" s="25"/>
      <c r="J69" s="37"/>
      <c r="K69" s="26"/>
      <c r="L69" s="26"/>
      <c r="M69" s="62">
        <f t="shared" si="2"/>
        <v>0</v>
      </c>
      <c r="N69" s="40">
        <f>5</f>
        <v>5</v>
      </c>
      <c r="O69" s="28"/>
      <c r="P69" s="28"/>
      <c r="Q69" s="69">
        <f t="shared" si="1"/>
        <v>0</v>
      </c>
    </row>
    <row r="70" spans="1:17" s="3" customFormat="1" x14ac:dyDescent="0.25">
      <c r="A70" s="66"/>
      <c r="B70" s="11" t="s">
        <v>48</v>
      </c>
      <c r="C70" s="48" t="s">
        <v>17</v>
      </c>
      <c r="D70" s="49"/>
      <c r="E70" s="50" t="s">
        <v>49</v>
      </c>
      <c r="F70" s="22"/>
      <c r="G70" s="67" t="s">
        <v>105</v>
      </c>
      <c r="H70" s="48"/>
      <c r="I70" s="68"/>
      <c r="J70" s="37"/>
      <c r="K70" s="26"/>
      <c r="L70" s="26"/>
      <c r="M70" s="62">
        <f t="shared" si="2"/>
        <v>0</v>
      </c>
      <c r="N70" s="40"/>
      <c r="O70" s="62"/>
      <c r="P70" s="62"/>
      <c r="Q70" s="27">
        <f t="shared" si="1"/>
        <v>0</v>
      </c>
    </row>
    <row r="71" spans="1:17" s="3" customFormat="1" x14ac:dyDescent="0.25">
      <c r="A71" s="66"/>
      <c r="B71" s="7" t="s">
        <v>50</v>
      </c>
      <c r="C71" s="48" t="s">
        <v>17</v>
      </c>
      <c r="D71" s="49"/>
      <c r="E71" s="50" t="s">
        <v>20</v>
      </c>
      <c r="F71" s="22"/>
      <c r="G71" s="23" t="s">
        <v>102</v>
      </c>
      <c r="H71" s="24"/>
      <c r="I71" s="25"/>
      <c r="J71" s="37"/>
      <c r="K71" s="26"/>
      <c r="L71" s="26"/>
      <c r="M71" s="62">
        <f t="shared" si="2"/>
        <v>0</v>
      </c>
      <c r="N71" s="40"/>
      <c r="O71" s="28"/>
      <c r="P71" s="28"/>
      <c r="Q71" s="69">
        <f t="shared" si="1"/>
        <v>0</v>
      </c>
    </row>
    <row r="72" spans="1:17" s="3" customFormat="1" x14ac:dyDescent="0.25">
      <c r="A72" s="66"/>
      <c r="B72" s="7" t="s">
        <v>50</v>
      </c>
      <c r="C72" s="48" t="s">
        <v>17</v>
      </c>
      <c r="D72" s="49"/>
      <c r="E72" s="50" t="s">
        <v>20</v>
      </c>
      <c r="F72" s="22"/>
      <c r="G72" s="67" t="s">
        <v>104</v>
      </c>
      <c r="H72" s="48"/>
      <c r="I72" s="68"/>
      <c r="J72" s="52"/>
      <c r="K72" s="26"/>
      <c r="L72" s="26"/>
      <c r="M72" s="62">
        <f t="shared" si="2"/>
        <v>0</v>
      </c>
      <c r="N72" s="40"/>
      <c r="O72" s="62"/>
      <c r="P72" s="62"/>
      <c r="Q72" s="69">
        <f t="shared" si="1"/>
        <v>0</v>
      </c>
    </row>
    <row r="73" spans="1:17" s="3" customFormat="1" x14ac:dyDescent="0.25">
      <c r="A73" s="66"/>
      <c r="B73" s="11" t="s">
        <v>51</v>
      </c>
      <c r="C73" s="48" t="s">
        <v>17</v>
      </c>
      <c r="D73" s="49"/>
      <c r="E73" s="50" t="s">
        <v>20</v>
      </c>
      <c r="F73" s="22"/>
      <c r="G73" s="23" t="s">
        <v>102</v>
      </c>
      <c r="H73" s="24"/>
      <c r="I73" s="25"/>
      <c r="J73" s="37"/>
      <c r="K73" s="26"/>
      <c r="L73" s="26"/>
      <c r="M73" s="62">
        <f t="shared" si="2"/>
        <v>0</v>
      </c>
      <c r="N73" s="40">
        <f>1</f>
        <v>1</v>
      </c>
      <c r="O73" s="28"/>
      <c r="P73" s="28"/>
      <c r="Q73" s="69">
        <f t="shared" si="1"/>
        <v>0</v>
      </c>
    </row>
    <row r="74" spans="1:17" s="3" customFormat="1" x14ac:dyDescent="0.25">
      <c r="A74" s="66"/>
      <c r="B74" s="11" t="s">
        <v>51</v>
      </c>
      <c r="C74" s="48" t="s">
        <v>17</v>
      </c>
      <c r="D74" s="49"/>
      <c r="E74" s="50" t="s">
        <v>20</v>
      </c>
      <c r="F74" s="22"/>
      <c r="G74" s="67" t="s">
        <v>104</v>
      </c>
      <c r="H74" s="48">
        <v>1</v>
      </c>
      <c r="I74" s="68"/>
      <c r="J74" s="52"/>
      <c r="K74" s="26"/>
      <c r="L74" s="26"/>
      <c r="M74" s="62">
        <f t="shared" si="2"/>
        <v>0</v>
      </c>
      <c r="N74" s="40"/>
      <c r="O74" s="79"/>
      <c r="P74" s="79"/>
      <c r="Q74" s="69">
        <f t="shared" si="1"/>
        <v>0</v>
      </c>
    </row>
    <row r="75" spans="1:17" s="3" customFormat="1" x14ac:dyDescent="0.25">
      <c r="A75" s="66"/>
      <c r="B75" s="7" t="s">
        <v>52</v>
      </c>
      <c r="C75" s="48" t="s">
        <v>17</v>
      </c>
      <c r="D75" s="49"/>
      <c r="E75" s="50" t="s">
        <v>20</v>
      </c>
      <c r="F75" s="22"/>
      <c r="G75" s="23" t="s">
        <v>102</v>
      </c>
      <c r="H75" s="24"/>
      <c r="I75" s="25"/>
      <c r="J75" s="37"/>
      <c r="K75" s="26"/>
      <c r="L75" s="26"/>
      <c r="M75" s="62">
        <f t="shared" si="2"/>
        <v>0</v>
      </c>
      <c r="N75" s="40"/>
      <c r="O75" s="28"/>
      <c r="P75" s="28"/>
      <c r="Q75" s="69">
        <f t="shared" si="1"/>
        <v>0</v>
      </c>
    </row>
    <row r="76" spans="1:17" s="3" customFormat="1" x14ac:dyDescent="0.25">
      <c r="A76" s="66"/>
      <c r="B76" s="7" t="s">
        <v>124</v>
      </c>
      <c r="C76" s="48" t="s">
        <v>17</v>
      </c>
      <c r="D76" s="49"/>
      <c r="E76" s="50" t="s">
        <v>145</v>
      </c>
      <c r="F76" s="22"/>
      <c r="G76" s="23" t="s">
        <v>102</v>
      </c>
      <c r="H76" s="24"/>
      <c r="I76" s="25"/>
      <c r="J76" s="37"/>
      <c r="K76" s="26"/>
      <c r="L76" s="26"/>
      <c r="M76" s="62">
        <f t="shared" ref="M76:M139" si="3">K76-L76</f>
        <v>0</v>
      </c>
      <c r="N76" s="40">
        <f>1</f>
        <v>1</v>
      </c>
      <c r="O76" s="28"/>
      <c r="P76" s="28"/>
      <c r="Q76" s="27">
        <f t="shared" si="1"/>
        <v>0</v>
      </c>
    </row>
    <row r="77" spans="1:17" s="3" customFormat="1" x14ac:dyDescent="0.25">
      <c r="A77" s="66"/>
      <c r="B77" s="7" t="s">
        <v>124</v>
      </c>
      <c r="C77" s="48" t="s">
        <v>17</v>
      </c>
      <c r="D77" s="49"/>
      <c r="E77" s="50" t="s">
        <v>145</v>
      </c>
      <c r="F77" s="22"/>
      <c r="G77" s="67" t="s">
        <v>108</v>
      </c>
      <c r="H77" s="48"/>
      <c r="I77" s="71"/>
      <c r="J77" s="52"/>
      <c r="K77" s="53"/>
      <c r="L77" s="53"/>
      <c r="M77" s="62">
        <f t="shared" si="3"/>
        <v>0</v>
      </c>
      <c r="N77" s="43"/>
      <c r="O77" s="62"/>
      <c r="P77" s="62"/>
      <c r="Q77" s="69">
        <f t="shared" si="1"/>
        <v>0</v>
      </c>
    </row>
    <row r="78" spans="1:17" s="3" customFormat="1" x14ac:dyDescent="0.25">
      <c r="A78" s="66"/>
      <c r="B78" s="11" t="s">
        <v>101</v>
      </c>
      <c r="C78" s="48" t="s">
        <v>17</v>
      </c>
      <c r="D78" s="49"/>
      <c r="E78" s="54" t="s">
        <v>20</v>
      </c>
      <c r="F78" s="22"/>
      <c r="G78" s="23" t="s">
        <v>102</v>
      </c>
      <c r="H78" s="24"/>
      <c r="I78" s="25"/>
      <c r="J78" s="37"/>
      <c r="K78" s="26"/>
      <c r="L78" s="26"/>
      <c r="M78" s="62">
        <f t="shared" si="3"/>
        <v>0</v>
      </c>
      <c r="N78" s="40">
        <f>1</f>
        <v>1</v>
      </c>
      <c r="O78" s="28"/>
      <c r="P78" s="28"/>
      <c r="Q78" s="27">
        <f t="shared" si="1"/>
        <v>0</v>
      </c>
    </row>
    <row r="79" spans="1:17" s="3" customFormat="1" x14ac:dyDescent="0.25">
      <c r="A79" s="66"/>
      <c r="B79" s="8" t="s">
        <v>53</v>
      </c>
      <c r="C79" s="48" t="s">
        <v>17</v>
      </c>
      <c r="D79" s="49"/>
      <c r="E79" s="54" t="s">
        <v>20</v>
      </c>
      <c r="F79" s="22"/>
      <c r="G79" s="23" t="s">
        <v>102</v>
      </c>
      <c r="H79" s="24"/>
      <c r="I79" s="25"/>
      <c r="J79" s="37"/>
      <c r="K79" s="26"/>
      <c r="L79" s="26"/>
      <c r="M79" s="62">
        <f t="shared" si="3"/>
        <v>0</v>
      </c>
      <c r="N79" s="40"/>
      <c r="O79" s="28"/>
      <c r="P79" s="28"/>
      <c r="Q79" s="27">
        <f t="shared" si="1"/>
        <v>0</v>
      </c>
    </row>
    <row r="80" spans="1:17" s="3" customFormat="1" ht="30" x14ac:dyDescent="0.25">
      <c r="A80" s="66"/>
      <c r="B80" s="7" t="s">
        <v>54</v>
      </c>
      <c r="C80" s="48" t="s">
        <v>135</v>
      </c>
      <c r="D80" s="49" t="s">
        <v>148</v>
      </c>
      <c r="E80" s="50" t="s">
        <v>20</v>
      </c>
      <c r="F80" s="22"/>
      <c r="G80" s="23" t="s">
        <v>102</v>
      </c>
      <c r="H80" s="24"/>
      <c r="I80" s="25"/>
      <c r="J80" s="38"/>
      <c r="K80" s="26"/>
      <c r="L80" s="26"/>
      <c r="M80" s="62">
        <f t="shared" si="3"/>
        <v>0</v>
      </c>
      <c r="N80" s="40"/>
      <c r="O80" s="28"/>
      <c r="P80" s="28"/>
      <c r="Q80" s="69">
        <f t="shared" si="1"/>
        <v>0</v>
      </c>
    </row>
    <row r="81" spans="1:17" s="3" customFormat="1" ht="30" x14ac:dyDescent="0.25">
      <c r="A81" s="66"/>
      <c r="B81" s="11" t="s">
        <v>55</v>
      </c>
      <c r="C81" s="48" t="s">
        <v>17</v>
      </c>
      <c r="D81" s="49" t="s">
        <v>147</v>
      </c>
      <c r="E81" s="50" t="s">
        <v>18</v>
      </c>
      <c r="F81" s="22"/>
      <c r="G81" s="23" t="s">
        <v>102</v>
      </c>
      <c r="H81" s="24"/>
      <c r="I81" s="25"/>
      <c r="J81" s="37"/>
      <c r="K81" s="26"/>
      <c r="L81" s="26"/>
      <c r="M81" s="62">
        <f t="shared" si="3"/>
        <v>0</v>
      </c>
      <c r="N81" s="40"/>
      <c r="O81" s="28"/>
      <c r="P81" s="28"/>
      <c r="Q81" s="27">
        <f t="shared" si="1"/>
        <v>0</v>
      </c>
    </row>
    <row r="82" spans="1:17" s="3" customFormat="1" ht="30" x14ac:dyDescent="0.25">
      <c r="A82" s="66"/>
      <c r="B82" s="11" t="s">
        <v>55</v>
      </c>
      <c r="C82" s="48" t="s">
        <v>135</v>
      </c>
      <c r="D82" s="49" t="s">
        <v>147</v>
      </c>
      <c r="E82" s="50" t="s">
        <v>18</v>
      </c>
      <c r="F82" s="22"/>
      <c r="G82" s="67" t="s">
        <v>103</v>
      </c>
      <c r="H82" s="48"/>
      <c r="I82" s="71"/>
      <c r="J82" s="38"/>
      <c r="K82" s="26"/>
      <c r="L82" s="26"/>
      <c r="M82" s="62">
        <f t="shared" si="3"/>
        <v>0</v>
      </c>
      <c r="N82" s="40"/>
      <c r="O82" s="62"/>
      <c r="P82" s="62"/>
      <c r="Q82" s="69">
        <f t="shared" ref="Q82:Q148" si="4">O82-P82</f>
        <v>0</v>
      </c>
    </row>
    <row r="83" spans="1:17" s="3" customFormat="1" x14ac:dyDescent="0.25">
      <c r="A83" s="66"/>
      <c r="B83" s="11" t="s">
        <v>131</v>
      </c>
      <c r="C83" s="48" t="s">
        <v>135</v>
      </c>
      <c r="D83" s="49"/>
      <c r="E83" s="50" t="s">
        <v>20</v>
      </c>
      <c r="F83" s="22"/>
      <c r="G83" s="23" t="s">
        <v>102</v>
      </c>
      <c r="H83" s="24"/>
      <c r="I83" s="25"/>
      <c r="J83" s="37"/>
      <c r="K83" s="26"/>
      <c r="L83" s="26"/>
      <c r="M83" s="62">
        <f t="shared" si="3"/>
        <v>0</v>
      </c>
      <c r="N83" s="40">
        <f>1</f>
        <v>1</v>
      </c>
      <c r="O83" s="28"/>
      <c r="P83" s="28"/>
      <c r="Q83" s="27">
        <f t="shared" si="4"/>
        <v>0</v>
      </c>
    </row>
    <row r="84" spans="1:17" s="4" customFormat="1" x14ac:dyDescent="0.25">
      <c r="A84" s="66"/>
      <c r="B84" s="11" t="s">
        <v>56</v>
      </c>
      <c r="C84" s="48" t="s">
        <v>17</v>
      </c>
      <c r="D84" s="49"/>
      <c r="E84" s="50" t="s">
        <v>20</v>
      </c>
      <c r="F84" s="22"/>
      <c r="G84" s="23" t="s">
        <v>102</v>
      </c>
      <c r="H84" s="24"/>
      <c r="I84" s="25"/>
      <c r="J84" s="37"/>
      <c r="K84" s="26"/>
      <c r="L84" s="26"/>
      <c r="M84" s="62">
        <f t="shared" si="3"/>
        <v>0</v>
      </c>
      <c r="N84" s="40"/>
      <c r="O84" s="28"/>
      <c r="P84" s="28"/>
      <c r="Q84" s="69">
        <f t="shared" si="4"/>
        <v>0</v>
      </c>
    </row>
    <row r="85" spans="1:17" s="4" customFormat="1" x14ac:dyDescent="0.25">
      <c r="A85" s="66"/>
      <c r="B85" s="11" t="s">
        <v>56</v>
      </c>
      <c r="C85" s="48" t="s">
        <v>17</v>
      </c>
      <c r="D85" s="49"/>
      <c r="E85" s="50" t="s">
        <v>20</v>
      </c>
      <c r="F85" s="22"/>
      <c r="G85" s="67" t="s">
        <v>104</v>
      </c>
      <c r="H85" s="48">
        <v>1</v>
      </c>
      <c r="I85" s="68"/>
      <c r="J85" s="52"/>
      <c r="K85" s="26"/>
      <c r="L85" s="26"/>
      <c r="M85" s="62">
        <f t="shared" si="3"/>
        <v>0</v>
      </c>
      <c r="N85" s="40"/>
      <c r="O85" s="62"/>
      <c r="P85" s="62"/>
      <c r="Q85" s="69">
        <f t="shared" si="4"/>
        <v>0</v>
      </c>
    </row>
    <row r="86" spans="1:17" s="3" customFormat="1" x14ac:dyDescent="0.25">
      <c r="A86" s="66"/>
      <c r="B86" s="11" t="s">
        <v>57</v>
      </c>
      <c r="C86" s="48" t="s">
        <v>17</v>
      </c>
      <c r="D86" s="49"/>
      <c r="E86" s="50" t="s">
        <v>20</v>
      </c>
      <c r="F86" s="22"/>
      <c r="G86" s="23" t="s">
        <v>102</v>
      </c>
      <c r="H86" s="24"/>
      <c r="I86" s="25"/>
      <c r="J86" s="37"/>
      <c r="K86" s="26"/>
      <c r="L86" s="26"/>
      <c r="M86" s="62">
        <f t="shared" si="3"/>
        <v>0</v>
      </c>
      <c r="N86" s="40"/>
      <c r="O86" s="28"/>
      <c r="P86" s="28"/>
      <c r="Q86" s="69">
        <f t="shared" si="4"/>
        <v>0</v>
      </c>
    </row>
    <row r="87" spans="1:17" s="3" customFormat="1" x14ac:dyDescent="0.25">
      <c r="A87" s="66"/>
      <c r="B87" s="11" t="s">
        <v>57</v>
      </c>
      <c r="C87" s="48" t="s">
        <v>17</v>
      </c>
      <c r="D87" s="49"/>
      <c r="E87" s="50" t="s">
        <v>20</v>
      </c>
      <c r="F87" s="22"/>
      <c r="G87" s="67" t="s">
        <v>104</v>
      </c>
      <c r="H87" s="48"/>
      <c r="I87" s="68"/>
      <c r="J87" s="52"/>
      <c r="K87" s="26"/>
      <c r="L87" s="26"/>
      <c r="M87" s="62">
        <f t="shared" si="3"/>
        <v>0</v>
      </c>
      <c r="N87" s="40"/>
      <c r="O87" s="62"/>
      <c r="P87" s="62"/>
      <c r="Q87" s="69">
        <f t="shared" si="4"/>
        <v>0</v>
      </c>
    </row>
    <row r="88" spans="1:17" s="3" customFormat="1" x14ac:dyDescent="0.25">
      <c r="A88" s="66"/>
      <c r="B88" s="11" t="s">
        <v>58</v>
      </c>
      <c r="C88" s="48" t="s">
        <v>17</v>
      </c>
      <c r="D88" s="49"/>
      <c r="E88" s="50" t="s">
        <v>20</v>
      </c>
      <c r="F88" s="22"/>
      <c r="G88" s="23" t="s">
        <v>102</v>
      </c>
      <c r="H88" s="24"/>
      <c r="I88" s="25"/>
      <c r="J88" s="37"/>
      <c r="K88" s="26"/>
      <c r="L88" s="26"/>
      <c r="M88" s="62">
        <f t="shared" si="3"/>
        <v>0</v>
      </c>
      <c r="N88" s="40"/>
      <c r="O88" s="28"/>
      <c r="P88" s="28"/>
      <c r="Q88" s="69">
        <f t="shared" si="4"/>
        <v>0</v>
      </c>
    </row>
    <row r="89" spans="1:17" s="3" customFormat="1" x14ac:dyDescent="0.25">
      <c r="A89" s="66"/>
      <c r="B89" s="11" t="s">
        <v>58</v>
      </c>
      <c r="C89" s="48" t="s">
        <v>17</v>
      </c>
      <c r="D89" s="49"/>
      <c r="E89" s="50" t="s">
        <v>20</v>
      </c>
      <c r="F89" s="22"/>
      <c r="G89" s="67" t="s">
        <v>104</v>
      </c>
      <c r="H89" s="48"/>
      <c r="I89" s="68"/>
      <c r="J89" s="52"/>
      <c r="K89" s="26"/>
      <c r="L89" s="26"/>
      <c r="M89" s="62">
        <f t="shared" si="3"/>
        <v>0</v>
      </c>
      <c r="N89" s="40"/>
      <c r="O89" s="62"/>
      <c r="P89" s="62"/>
      <c r="Q89" s="69">
        <f t="shared" si="4"/>
        <v>0</v>
      </c>
    </row>
    <row r="90" spans="1:17" s="3" customFormat="1" x14ac:dyDescent="0.25">
      <c r="A90" s="66"/>
      <c r="B90" s="7" t="s">
        <v>59</v>
      </c>
      <c r="C90" s="48" t="s">
        <v>17</v>
      </c>
      <c r="D90" s="49"/>
      <c r="E90" s="50" t="s">
        <v>20</v>
      </c>
      <c r="F90" s="22"/>
      <c r="G90" s="23" t="s">
        <v>102</v>
      </c>
      <c r="H90" s="24"/>
      <c r="I90" s="25"/>
      <c r="J90" s="37"/>
      <c r="K90" s="26"/>
      <c r="L90" s="26"/>
      <c r="M90" s="62">
        <f t="shared" si="3"/>
        <v>0</v>
      </c>
      <c r="N90" s="40"/>
      <c r="O90" s="28"/>
      <c r="P90" s="28"/>
      <c r="Q90" s="69">
        <f t="shared" si="4"/>
        <v>0</v>
      </c>
    </row>
    <row r="91" spans="1:17" s="3" customFormat="1" x14ac:dyDescent="0.25">
      <c r="A91" s="66"/>
      <c r="B91" s="7" t="s">
        <v>59</v>
      </c>
      <c r="C91" s="48" t="s">
        <v>17</v>
      </c>
      <c r="D91" s="49"/>
      <c r="E91" s="50" t="s">
        <v>20</v>
      </c>
      <c r="F91" s="22"/>
      <c r="G91" s="67" t="s">
        <v>104</v>
      </c>
      <c r="H91" s="48"/>
      <c r="I91" s="68"/>
      <c r="J91" s="52"/>
      <c r="K91" s="26"/>
      <c r="L91" s="26"/>
      <c r="M91" s="62">
        <f t="shared" si="3"/>
        <v>0</v>
      </c>
      <c r="N91" s="40"/>
      <c r="O91" s="62"/>
      <c r="P91" s="62"/>
      <c r="Q91" s="69">
        <f t="shared" si="4"/>
        <v>0</v>
      </c>
    </row>
    <row r="92" spans="1:17" s="3" customFormat="1" x14ac:dyDescent="0.25">
      <c r="A92" s="66"/>
      <c r="B92" s="7" t="s">
        <v>160</v>
      </c>
      <c r="C92" s="48" t="s">
        <v>17</v>
      </c>
      <c r="D92" s="49"/>
      <c r="E92" s="50" t="s">
        <v>20</v>
      </c>
      <c r="F92" s="22"/>
      <c r="G92" s="67" t="s">
        <v>102</v>
      </c>
      <c r="H92" s="48">
        <v>1</v>
      </c>
      <c r="I92" s="68"/>
      <c r="J92" s="52"/>
      <c r="K92" s="26"/>
      <c r="L92" s="26"/>
      <c r="M92" s="62">
        <f t="shared" si="3"/>
        <v>0</v>
      </c>
      <c r="N92" s="40"/>
      <c r="O92" s="62"/>
      <c r="P92" s="62"/>
      <c r="Q92" s="69">
        <f t="shared" si="4"/>
        <v>0</v>
      </c>
    </row>
    <row r="93" spans="1:17" s="4" customFormat="1" x14ac:dyDescent="0.25">
      <c r="A93" s="66"/>
      <c r="B93" s="7" t="s">
        <v>60</v>
      </c>
      <c r="C93" s="48" t="s">
        <v>17</v>
      </c>
      <c r="D93" s="49"/>
      <c r="E93" s="50" t="s">
        <v>20</v>
      </c>
      <c r="F93" s="22"/>
      <c r="G93" s="23" t="s">
        <v>102</v>
      </c>
      <c r="H93" s="24"/>
      <c r="I93" s="25"/>
      <c r="J93" s="37"/>
      <c r="K93" s="26"/>
      <c r="L93" s="26"/>
      <c r="M93" s="62">
        <f t="shared" si="3"/>
        <v>0</v>
      </c>
      <c r="N93" s="40"/>
      <c r="O93" s="28"/>
      <c r="P93" s="28"/>
      <c r="Q93" s="69">
        <f t="shared" si="4"/>
        <v>0</v>
      </c>
    </row>
    <row r="94" spans="1:17" s="4" customFormat="1" x14ac:dyDescent="0.25">
      <c r="A94" s="66"/>
      <c r="B94" s="73" t="s">
        <v>137</v>
      </c>
      <c r="C94" s="48" t="s">
        <v>17</v>
      </c>
      <c r="D94" s="49"/>
      <c r="E94" s="50" t="s">
        <v>35</v>
      </c>
      <c r="F94" s="22"/>
      <c r="G94" s="67" t="s">
        <v>102</v>
      </c>
      <c r="H94" s="48">
        <v>1</v>
      </c>
      <c r="I94" s="68"/>
      <c r="J94" s="52"/>
      <c r="K94" s="26"/>
      <c r="L94" s="26"/>
      <c r="M94" s="62">
        <f t="shared" si="3"/>
        <v>0</v>
      </c>
      <c r="N94" s="43"/>
      <c r="O94" s="62"/>
      <c r="P94" s="62"/>
      <c r="Q94" s="69">
        <f t="shared" si="4"/>
        <v>0</v>
      </c>
    </row>
    <row r="95" spans="1:17" s="3" customFormat="1" x14ac:dyDescent="0.25">
      <c r="A95" s="66"/>
      <c r="B95" s="11" t="s">
        <v>137</v>
      </c>
      <c r="C95" s="48" t="s">
        <v>17</v>
      </c>
      <c r="D95" s="49"/>
      <c r="E95" s="50" t="s">
        <v>27</v>
      </c>
      <c r="F95" s="22"/>
      <c r="G95" s="67" t="s">
        <v>107</v>
      </c>
      <c r="H95" s="48"/>
      <c r="I95" s="68"/>
      <c r="J95" s="37"/>
      <c r="K95" s="26"/>
      <c r="L95" s="26"/>
      <c r="M95" s="62">
        <f t="shared" si="3"/>
        <v>0</v>
      </c>
      <c r="N95" s="40"/>
      <c r="O95" s="26"/>
      <c r="P95" s="26"/>
      <c r="Q95" s="27">
        <f>O95-P95</f>
        <v>0</v>
      </c>
    </row>
    <row r="96" spans="1:17" s="3" customFormat="1" x14ac:dyDescent="0.25">
      <c r="A96" s="66"/>
      <c r="B96" s="7" t="s">
        <v>61</v>
      </c>
      <c r="C96" s="48" t="s">
        <v>17</v>
      </c>
      <c r="D96" s="49"/>
      <c r="E96" s="50" t="s">
        <v>35</v>
      </c>
      <c r="F96" s="22"/>
      <c r="G96" s="23" t="s">
        <v>102</v>
      </c>
      <c r="H96" s="24"/>
      <c r="I96" s="25"/>
      <c r="J96" s="37"/>
      <c r="K96" s="26"/>
      <c r="L96" s="26"/>
      <c r="M96" s="62">
        <f t="shared" si="3"/>
        <v>0</v>
      </c>
      <c r="N96" s="40">
        <f>2</f>
        <v>2</v>
      </c>
      <c r="O96" s="28"/>
      <c r="P96" s="28"/>
      <c r="Q96" s="27">
        <f t="shared" si="4"/>
        <v>0</v>
      </c>
    </row>
    <row r="97" spans="1:17" s="3" customFormat="1" x14ac:dyDescent="0.25">
      <c r="A97" s="66"/>
      <c r="B97" s="7" t="s">
        <v>61</v>
      </c>
      <c r="C97" s="48" t="s">
        <v>17</v>
      </c>
      <c r="D97" s="49"/>
      <c r="E97" s="50" t="s">
        <v>35</v>
      </c>
      <c r="F97" s="22"/>
      <c r="G97" s="67" t="s">
        <v>107</v>
      </c>
      <c r="H97" s="48"/>
      <c r="I97" s="68"/>
      <c r="J97" s="37"/>
      <c r="K97" s="26"/>
      <c r="L97" s="26"/>
      <c r="M97" s="62">
        <f t="shared" si="3"/>
        <v>0</v>
      </c>
      <c r="N97" s="40"/>
      <c r="O97" s="62"/>
      <c r="P97" s="62"/>
      <c r="Q97" s="69">
        <f t="shared" si="4"/>
        <v>0</v>
      </c>
    </row>
    <row r="98" spans="1:17" s="3" customFormat="1" x14ac:dyDescent="0.25">
      <c r="A98" s="66"/>
      <c r="B98" s="7" t="s">
        <v>130</v>
      </c>
      <c r="C98" s="48" t="s">
        <v>17</v>
      </c>
      <c r="D98" s="49"/>
      <c r="E98" s="50" t="s">
        <v>20</v>
      </c>
      <c r="F98" s="22"/>
      <c r="G98" s="23" t="s">
        <v>102</v>
      </c>
      <c r="H98" s="24"/>
      <c r="I98" s="29"/>
      <c r="J98" s="37"/>
      <c r="K98" s="26"/>
      <c r="L98" s="26"/>
      <c r="M98" s="62">
        <f t="shared" si="3"/>
        <v>0</v>
      </c>
      <c r="N98" s="40"/>
      <c r="O98" s="28"/>
      <c r="P98" s="28"/>
      <c r="Q98" s="69">
        <f t="shared" si="4"/>
        <v>0</v>
      </c>
    </row>
    <row r="99" spans="1:17" s="3" customFormat="1" x14ac:dyDescent="0.25">
      <c r="A99" s="66"/>
      <c r="B99" s="7" t="s">
        <v>170</v>
      </c>
      <c r="C99" s="48"/>
      <c r="D99" s="49"/>
      <c r="E99" s="50"/>
      <c r="F99" s="22"/>
      <c r="G99" s="23" t="s">
        <v>104</v>
      </c>
      <c r="H99" s="24"/>
      <c r="I99" s="29"/>
      <c r="J99" s="37"/>
      <c r="K99" s="26"/>
      <c r="L99" s="26"/>
      <c r="M99" s="62">
        <f t="shared" si="3"/>
        <v>0</v>
      </c>
      <c r="N99" s="40"/>
      <c r="O99" s="28"/>
      <c r="P99" s="28"/>
      <c r="Q99" s="69"/>
    </row>
    <row r="100" spans="1:17" s="3" customFormat="1" ht="15.75" x14ac:dyDescent="0.25">
      <c r="A100" s="66"/>
      <c r="B100" s="7" t="s">
        <v>130</v>
      </c>
      <c r="C100" s="48" t="s">
        <v>17</v>
      </c>
      <c r="D100" s="49"/>
      <c r="E100" s="50" t="s">
        <v>20</v>
      </c>
      <c r="F100" s="22"/>
      <c r="G100" s="67" t="s">
        <v>104</v>
      </c>
      <c r="H100" s="1"/>
      <c r="I100" s="68"/>
      <c r="J100" s="52"/>
      <c r="K100" s="26"/>
      <c r="L100" s="26"/>
      <c r="M100" s="62">
        <f t="shared" si="3"/>
        <v>0</v>
      </c>
      <c r="N100" s="40"/>
      <c r="O100" s="62"/>
      <c r="P100" s="62"/>
      <c r="Q100" s="69">
        <f t="shared" si="4"/>
        <v>0</v>
      </c>
    </row>
    <row r="101" spans="1:17" s="3" customFormat="1" x14ac:dyDescent="0.25">
      <c r="A101" s="66"/>
      <c r="B101" s="8" t="s">
        <v>63</v>
      </c>
      <c r="C101" s="48" t="s">
        <v>17</v>
      </c>
      <c r="D101" s="49"/>
      <c r="E101" s="50" t="s">
        <v>21</v>
      </c>
      <c r="F101" s="22"/>
      <c r="G101" s="23" t="s">
        <v>102</v>
      </c>
      <c r="H101" s="24"/>
      <c r="I101" s="25"/>
      <c r="J101" s="37"/>
      <c r="K101" s="26"/>
      <c r="L101" s="26"/>
      <c r="M101" s="62">
        <f t="shared" si="3"/>
        <v>0</v>
      </c>
      <c r="N101" s="40">
        <f>5</f>
        <v>5</v>
      </c>
      <c r="O101" s="28"/>
      <c r="P101" s="28"/>
      <c r="Q101" s="69">
        <f t="shared" si="4"/>
        <v>0</v>
      </c>
    </row>
    <row r="102" spans="1:17" s="3" customFormat="1" x14ac:dyDescent="0.25">
      <c r="A102" s="66"/>
      <c r="B102" s="8" t="s">
        <v>63</v>
      </c>
      <c r="C102" s="48" t="s">
        <v>17</v>
      </c>
      <c r="D102" s="49"/>
      <c r="E102" s="50" t="s">
        <v>21</v>
      </c>
      <c r="F102" s="22"/>
      <c r="G102" s="67" t="s">
        <v>108</v>
      </c>
      <c r="H102" s="48"/>
      <c r="I102" s="68"/>
      <c r="J102" s="37"/>
      <c r="K102" s="26"/>
      <c r="L102" s="26"/>
      <c r="M102" s="62">
        <f t="shared" si="3"/>
        <v>0</v>
      </c>
      <c r="N102" s="40"/>
      <c r="O102" s="62"/>
      <c r="P102" s="62"/>
      <c r="Q102" s="27">
        <f t="shared" si="4"/>
        <v>0</v>
      </c>
    </row>
    <row r="103" spans="1:17" s="3" customFormat="1" x14ac:dyDescent="0.25">
      <c r="A103" s="66"/>
      <c r="B103" s="11" t="s">
        <v>116</v>
      </c>
      <c r="C103" s="48" t="s">
        <v>17</v>
      </c>
      <c r="D103" s="49"/>
      <c r="E103" s="54" t="s">
        <v>35</v>
      </c>
      <c r="F103" s="22"/>
      <c r="G103" s="23" t="s">
        <v>102</v>
      </c>
      <c r="H103" s="24">
        <v>1</v>
      </c>
      <c r="I103" s="25"/>
      <c r="J103" s="37"/>
      <c r="K103" s="26"/>
      <c r="L103" s="26"/>
      <c r="M103" s="62">
        <f t="shared" si="3"/>
        <v>0</v>
      </c>
      <c r="N103" s="40">
        <f>5</f>
        <v>5</v>
      </c>
      <c r="O103" s="28"/>
      <c r="P103" s="28"/>
      <c r="Q103" s="69">
        <f t="shared" si="4"/>
        <v>0</v>
      </c>
    </row>
    <row r="104" spans="1:17" s="3" customFormat="1" x14ac:dyDescent="0.25">
      <c r="A104" s="66"/>
      <c r="B104" s="11" t="s">
        <v>116</v>
      </c>
      <c r="C104" s="48" t="s">
        <v>17</v>
      </c>
      <c r="D104" s="49"/>
      <c r="E104" s="54" t="s">
        <v>35</v>
      </c>
      <c r="F104" s="22"/>
      <c r="G104" s="67" t="s">
        <v>107</v>
      </c>
      <c r="H104" s="48"/>
      <c r="I104" s="68"/>
      <c r="J104" s="52"/>
      <c r="K104" s="53"/>
      <c r="L104" s="53"/>
      <c r="M104" s="62">
        <f t="shared" si="3"/>
        <v>0</v>
      </c>
      <c r="N104" s="43"/>
      <c r="O104" s="62"/>
      <c r="P104" s="62"/>
      <c r="Q104" s="27">
        <f t="shared" si="4"/>
        <v>0</v>
      </c>
    </row>
    <row r="105" spans="1:17" s="3" customFormat="1" x14ac:dyDescent="0.25">
      <c r="A105" s="66"/>
      <c r="B105" s="8" t="s">
        <v>64</v>
      </c>
      <c r="C105" s="48" t="s">
        <v>17</v>
      </c>
      <c r="D105" s="49"/>
      <c r="E105" s="54" t="s">
        <v>21</v>
      </c>
      <c r="F105" s="22"/>
      <c r="G105" s="23" t="s">
        <v>102</v>
      </c>
      <c r="H105" s="24">
        <v>1</v>
      </c>
      <c r="I105" s="25"/>
      <c r="J105" s="37"/>
      <c r="K105" s="26"/>
      <c r="L105" s="26"/>
      <c r="M105" s="62">
        <f t="shared" si="3"/>
        <v>0</v>
      </c>
      <c r="N105" s="40">
        <f>4</f>
        <v>4</v>
      </c>
      <c r="O105" s="28"/>
      <c r="P105" s="28"/>
      <c r="Q105" s="69">
        <f t="shared" si="4"/>
        <v>0</v>
      </c>
    </row>
    <row r="106" spans="1:17" s="3" customFormat="1" x14ac:dyDescent="0.25">
      <c r="A106" s="66"/>
      <c r="B106" s="8" t="s">
        <v>64</v>
      </c>
      <c r="C106" s="48" t="s">
        <v>17</v>
      </c>
      <c r="D106" s="49"/>
      <c r="E106" s="54" t="s">
        <v>21</v>
      </c>
      <c r="F106" s="22"/>
      <c r="G106" s="67" t="s">
        <v>108</v>
      </c>
      <c r="H106" s="48">
        <v>1</v>
      </c>
      <c r="I106" s="68"/>
      <c r="J106" s="37"/>
      <c r="K106" s="26"/>
      <c r="L106" s="26"/>
      <c r="M106" s="62">
        <f t="shared" si="3"/>
        <v>0</v>
      </c>
      <c r="N106" s="40"/>
      <c r="O106" s="62"/>
      <c r="P106" s="62"/>
      <c r="Q106" s="27">
        <f t="shared" si="4"/>
        <v>0</v>
      </c>
    </row>
    <row r="107" spans="1:17" s="3" customFormat="1" x14ac:dyDescent="0.25">
      <c r="A107" s="66"/>
      <c r="B107" s="8" t="s">
        <v>65</v>
      </c>
      <c r="C107" s="48" t="s">
        <v>17</v>
      </c>
      <c r="D107" s="49"/>
      <c r="E107" s="54" t="s">
        <v>32</v>
      </c>
      <c r="F107" s="22"/>
      <c r="G107" s="23" t="s">
        <v>102</v>
      </c>
      <c r="H107" s="24"/>
      <c r="I107" s="25"/>
      <c r="J107" s="37"/>
      <c r="K107" s="26"/>
      <c r="L107" s="26"/>
      <c r="M107" s="62">
        <f t="shared" si="3"/>
        <v>0</v>
      </c>
      <c r="N107" s="40">
        <f>2</f>
        <v>2</v>
      </c>
      <c r="O107" s="28"/>
      <c r="P107" s="28"/>
      <c r="Q107" s="69">
        <f t="shared" si="4"/>
        <v>0</v>
      </c>
    </row>
    <row r="108" spans="1:17" s="3" customFormat="1" x14ac:dyDescent="0.25">
      <c r="A108" s="66"/>
      <c r="B108" s="8" t="s">
        <v>65</v>
      </c>
      <c r="C108" s="48" t="s">
        <v>17</v>
      </c>
      <c r="D108" s="49"/>
      <c r="E108" s="54" t="s">
        <v>32</v>
      </c>
      <c r="F108" s="22"/>
      <c r="G108" s="72" t="s">
        <v>107</v>
      </c>
      <c r="H108" s="48"/>
      <c r="I108" s="68"/>
      <c r="J108" s="37"/>
      <c r="K108" s="26"/>
      <c r="L108" s="26"/>
      <c r="M108" s="62">
        <f t="shared" si="3"/>
        <v>0</v>
      </c>
      <c r="N108" s="40"/>
      <c r="O108" s="26"/>
      <c r="P108" s="26"/>
      <c r="Q108" s="27">
        <f t="shared" si="4"/>
        <v>0</v>
      </c>
    </row>
    <row r="109" spans="1:17" s="4" customFormat="1" x14ac:dyDescent="0.25">
      <c r="A109" s="66"/>
      <c r="B109" s="7" t="s">
        <v>66</v>
      </c>
      <c r="C109" s="48" t="s">
        <v>17</v>
      </c>
      <c r="D109" s="49"/>
      <c r="E109" s="50" t="s">
        <v>20</v>
      </c>
      <c r="F109" s="22"/>
      <c r="G109" s="23" t="s">
        <v>102</v>
      </c>
      <c r="H109" s="24">
        <v>1</v>
      </c>
      <c r="I109" s="25"/>
      <c r="J109" s="37"/>
      <c r="K109" s="26"/>
      <c r="L109" s="26"/>
      <c r="M109" s="62">
        <f t="shared" si="3"/>
        <v>0</v>
      </c>
      <c r="N109" s="40"/>
      <c r="O109" s="26"/>
      <c r="P109" s="26"/>
      <c r="Q109" s="69">
        <f t="shared" si="4"/>
        <v>0</v>
      </c>
    </row>
    <row r="110" spans="1:17" s="4" customFormat="1" x14ac:dyDescent="0.25">
      <c r="A110" s="66"/>
      <c r="B110" s="73" t="s">
        <v>163</v>
      </c>
      <c r="C110" s="48" t="s">
        <v>17</v>
      </c>
      <c r="D110" s="49"/>
      <c r="E110" s="50" t="s">
        <v>20</v>
      </c>
      <c r="F110" s="22"/>
      <c r="G110" s="23" t="s">
        <v>102</v>
      </c>
      <c r="H110" s="24"/>
      <c r="I110" s="25"/>
      <c r="J110" s="37"/>
      <c r="K110" s="26"/>
      <c r="L110" s="26"/>
      <c r="M110" s="62">
        <f t="shared" si="3"/>
        <v>0</v>
      </c>
      <c r="N110" s="40"/>
      <c r="O110" s="26"/>
      <c r="P110" s="26"/>
      <c r="Q110" s="69">
        <f t="shared" si="4"/>
        <v>0</v>
      </c>
    </row>
    <row r="111" spans="1:17" s="4" customFormat="1" x14ac:dyDescent="0.25">
      <c r="A111" s="66"/>
      <c r="B111" s="73" t="s">
        <v>163</v>
      </c>
      <c r="C111" s="48" t="s">
        <v>17</v>
      </c>
      <c r="D111" s="49"/>
      <c r="E111" s="50" t="s">
        <v>32</v>
      </c>
      <c r="F111" s="22"/>
      <c r="G111" s="72" t="s">
        <v>107</v>
      </c>
      <c r="H111" s="24"/>
      <c r="I111" s="25"/>
      <c r="J111" s="37"/>
      <c r="K111" s="26"/>
      <c r="L111" s="26"/>
      <c r="M111" s="62">
        <f t="shared" si="3"/>
        <v>0</v>
      </c>
      <c r="N111" s="40"/>
      <c r="O111" s="26"/>
      <c r="P111" s="26"/>
      <c r="Q111" s="69">
        <f t="shared" si="4"/>
        <v>0</v>
      </c>
    </row>
    <row r="112" spans="1:17" s="3" customFormat="1" x14ac:dyDescent="0.25">
      <c r="A112" s="66"/>
      <c r="B112" s="11" t="s">
        <v>67</v>
      </c>
      <c r="C112" s="48" t="s">
        <v>17</v>
      </c>
      <c r="D112" s="49"/>
      <c r="E112" s="50" t="s">
        <v>20</v>
      </c>
      <c r="F112" s="22"/>
      <c r="G112" s="23" t="s">
        <v>102</v>
      </c>
      <c r="H112" s="24"/>
      <c r="I112" s="25"/>
      <c r="J112" s="37"/>
      <c r="K112" s="26"/>
      <c r="L112" s="26"/>
      <c r="M112" s="62">
        <f t="shared" si="3"/>
        <v>0</v>
      </c>
      <c r="N112" s="40"/>
      <c r="O112" s="28"/>
      <c r="P112" s="28"/>
      <c r="Q112" s="27">
        <f t="shared" si="4"/>
        <v>0</v>
      </c>
    </row>
    <row r="113" spans="1:17" s="3" customFormat="1" x14ac:dyDescent="0.25">
      <c r="A113" s="66"/>
      <c r="B113" s="11" t="s">
        <v>67</v>
      </c>
      <c r="C113" s="48" t="s">
        <v>17</v>
      </c>
      <c r="D113" s="49"/>
      <c r="E113" s="50" t="s">
        <v>20</v>
      </c>
      <c r="F113" s="22"/>
      <c r="G113" s="67" t="s">
        <v>104</v>
      </c>
      <c r="H113" s="48"/>
      <c r="I113" s="68"/>
      <c r="J113" s="52"/>
      <c r="K113" s="26"/>
      <c r="L113" s="26"/>
      <c r="M113" s="62">
        <f t="shared" si="3"/>
        <v>0</v>
      </c>
      <c r="N113" s="40"/>
      <c r="O113" s="62"/>
      <c r="P113" s="62"/>
      <c r="Q113" s="69">
        <f t="shared" si="4"/>
        <v>0</v>
      </c>
    </row>
    <row r="114" spans="1:17" s="4" customFormat="1" x14ac:dyDescent="0.25">
      <c r="A114" s="66"/>
      <c r="B114" s="11" t="s">
        <v>68</v>
      </c>
      <c r="C114" s="48" t="s">
        <v>17</v>
      </c>
      <c r="D114" s="49"/>
      <c r="E114" s="50" t="s">
        <v>32</v>
      </c>
      <c r="F114" s="22"/>
      <c r="G114" s="23" t="s">
        <v>102</v>
      </c>
      <c r="H114" s="24"/>
      <c r="I114" s="25"/>
      <c r="J114" s="37"/>
      <c r="K114" s="26"/>
      <c r="L114" s="26"/>
      <c r="M114" s="62">
        <f t="shared" si="3"/>
        <v>0</v>
      </c>
      <c r="N114" s="40">
        <f>1</f>
        <v>1</v>
      </c>
      <c r="O114" s="28"/>
      <c r="P114" s="28"/>
      <c r="Q114" s="27">
        <f t="shared" si="4"/>
        <v>0</v>
      </c>
    </row>
    <row r="115" spans="1:17" s="4" customFormat="1" x14ac:dyDescent="0.25">
      <c r="A115" s="66"/>
      <c r="B115" s="11" t="s">
        <v>68</v>
      </c>
      <c r="C115" s="48" t="s">
        <v>17</v>
      </c>
      <c r="D115" s="49"/>
      <c r="E115" s="50" t="s">
        <v>32</v>
      </c>
      <c r="F115" s="22"/>
      <c r="G115" s="67" t="s">
        <v>105</v>
      </c>
      <c r="H115" s="48">
        <v>1</v>
      </c>
      <c r="I115" s="68"/>
      <c r="J115" s="37"/>
      <c r="K115" s="74"/>
      <c r="L115" s="74"/>
      <c r="M115" s="62">
        <f t="shared" si="3"/>
        <v>0</v>
      </c>
      <c r="N115" s="43"/>
      <c r="O115" s="26"/>
      <c r="P115" s="26"/>
      <c r="Q115" s="69">
        <f t="shared" si="4"/>
        <v>0</v>
      </c>
    </row>
    <row r="116" spans="1:17" s="3" customFormat="1" x14ac:dyDescent="0.25">
      <c r="A116" s="66"/>
      <c r="B116" s="11" t="s">
        <v>143</v>
      </c>
      <c r="C116" s="48" t="s">
        <v>17</v>
      </c>
      <c r="D116" s="49"/>
      <c r="E116" s="50" t="s">
        <v>20</v>
      </c>
      <c r="F116" s="22"/>
      <c r="G116" s="23" t="s">
        <v>102</v>
      </c>
      <c r="H116" s="24"/>
      <c r="I116" s="25"/>
      <c r="J116" s="37"/>
      <c r="K116" s="26"/>
      <c r="L116" s="26"/>
      <c r="M116" s="62">
        <f t="shared" si="3"/>
        <v>0</v>
      </c>
      <c r="N116" s="40">
        <f>4</f>
        <v>4</v>
      </c>
      <c r="O116" s="26"/>
      <c r="P116" s="26"/>
      <c r="Q116" s="27">
        <f>O116-P116</f>
        <v>0</v>
      </c>
    </row>
    <row r="117" spans="1:17" s="4" customFormat="1" x14ac:dyDescent="0.25">
      <c r="A117" s="66"/>
      <c r="B117" s="11" t="s">
        <v>125</v>
      </c>
      <c r="C117" s="48" t="s">
        <v>17</v>
      </c>
      <c r="D117" s="49"/>
      <c r="E117" s="50" t="s">
        <v>35</v>
      </c>
      <c r="F117" s="22"/>
      <c r="G117" s="23" t="s">
        <v>102</v>
      </c>
      <c r="H117" s="24"/>
      <c r="I117" s="25"/>
      <c r="J117" s="37"/>
      <c r="K117" s="26"/>
      <c r="L117" s="26"/>
      <c r="M117" s="62">
        <f t="shared" si="3"/>
        <v>0</v>
      </c>
      <c r="N117" s="43">
        <f>3</f>
        <v>3</v>
      </c>
      <c r="O117" s="26"/>
      <c r="P117" s="26"/>
      <c r="Q117" s="27">
        <f t="shared" si="4"/>
        <v>0</v>
      </c>
    </row>
    <row r="118" spans="1:17" s="4" customFormat="1" x14ac:dyDescent="0.25">
      <c r="A118" s="66"/>
      <c r="B118" s="70" t="s">
        <v>125</v>
      </c>
      <c r="C118" s="48" t="s">
        <v>17</v>
      </c>
      <c r="D118" s="49"/>
      <c r="E118" s="50" t="s">
        <v>32</v>
      </c>
      <c r="F118" s="22"/>
      <c r="G118" s="67" t="s">
        <v>107</v>
      </c>
      <c r="H118" s="48"/>
      <c r="I118" s="68"/>
      <c r="J118" s="37"/>
      <c r="K118" s="26"/>
      <c r="L118" s="26"/>
      <c r="M118" s="62">
        <f t="shared" si="3"/>
        <v>0</v>
      </c>
      <c r="N118" s="40"/>
      <c r="O118" s="26"/>
      <c r="P118" s="26"/>
      <c r="Q118" s="69">
        <f t="shared" si="4"/>
        <v>0</v>
      </c>
    </row>
    <row r="119" spans="1:17" s="3" customFormat="1" x14ac:dyDescent="0.25">
      <c r="A119" s="66"/>
      <c r="B119" s="8" t="s">
        <v>69</v>
      </c>
      <c r="C119" s="48" t="s">
        <v>17</v>
      </c>
      <c r="D119" s="49"/>
      <c r="E119" s="50" t="s">
        <v>21</v>
      </c>
      <c r="F119" s="22"/>
      <c r="G119" s="23" t="s">
        <v>102</v>
      </c>
      <c r="H119" s="24"/>
      <c r="I119" s="25"/>
      <c r="J119" s="37"/>
      <c r="K119" s="26"/>
      <c r="L119" s="26"/>
      <c r="M119" s="62">
        <f t="shared" si="3"/>
        <v>0</v>
      </c>
      <c r="N119" s="40">
        <f>1</f>
        <v>1</v>
      </c>
      <c r="O119" s="28"/>
      <c r="P119" s="28"/>
      <c r="Q119" s="27">
        <f t="shared" si="4"/>
        <v>0</v>
      </c>
    </row>
    <row r="120" spans="1:17" s="3" customFormat="1" x14ac:dyDescent="0.25">
      <c r="A120" s="66"/>
      <c r="B120" s="8" t="s">
        <v>69</v>
      </c>
      <c r="C120" s="48" t="s">
        <v>17</v>
      </c>
      <c r="D120" s="49"/>
      <c r="E120" s="50" t="s">
        <v>21</v>
      </c>
      <c r="F120" s="22"/>
      <c r="G120" s="67" t="s">
        <v>108</v>
      </c>
      <c r="H120" s="48"/>
      <c r="I120" s="68"/>
      <c r="J120" s="37"/>
      <c r="K120" s="26"/>
      <c r="L120" s="26"/>
      <c r="M120" s="62">
        <f t="shared" si="3"/>
        <v>0</v>
      </c>
      <c r="N120" s="40"/>
      <c r="O120" s="62"/>
      <c r="P120" s="62"/>
      <c r="Q120" s="69">
        <f t="shared" si="4"/>
        <v>0</v>
      </c>
    </row>
    <row r="121" spans="1:17" s="4" customFormat="1" x14ac:dyDescent="0.25">
      <c r="A121" s="66"/>
      <c r="B121" s="8" t="s">
        <v>70</v>
      </c>
      <c r="C121" s="48" t="s">
        <v>17</v>
      </c>
      <c r="D121" s="49"/>
      <c r="E121" s="50" t="s">
        <v>71</v>
      </c>
      <c r="F121" s="22"/>
      <c r="G121" s="23" t="s">
        <v>102</v>
      </c>
      <c r="H121" s="24">
        <v>1</v>
      </c>
      <c r="I121" s="25"/>
      <c r="J121" s="37"/>
      <c r="K121" s="26"/>
      <c r="L121" s="26"/>
      <c r="M121" s="62">
        <f t="shared" si="3"/>
        <v>0</v>
      </c>
      <c r="N121" s="40"/>
      <c r="O121" s="28"/>
      <c r="P121" s="28"/>
      <c r="Q121" s="27">
        <f t="shared" si="4"/>
        <v>0</v>
      </c>
    </row>
    <row r="122" spans="1:17" s="4" customFormat="1" x14ac:dyDescent="0.25">
      <c r="A122" s="66"/>
      <c r="B122" s="8" t="s">
        <v>70</v>
      </c>
      <c r="C122" s="48" t="s">
        <v>17</v>
      </c>
      <c r="D122" s="49"/>
      <c r="E122" s="50" t="s">
        <v>71</v>
      </c>
      <c r="F122" s="22"/>
      <c r="G122" s="67" t="s">
        <v>104</v>
      </c>
      <c r="H122" s="48"/>
      <c r="I122" s="68"/>
      <c r="J122" s="52"/>
      <c r="K122" s="26"/>
      <c r="L122" s="26"/>
      <c r="M122" s="62">
        <f t="shared" si="3"/>
        <v>0</v>
      </c>
      <c r="N122" s="40"/>
      <c r="O122" s="62"/>
      <c r="P122" s="62"/>
      <c r="Q122" s="69">
        <f t="shared" si="4"/>
        <v>0</v>
      </c>
    </row>
    <row r="123" spans="1:17" s="3" customFormat="1" x14ac:dyDescent="0.25">
      <c r="A123" s="66"/>
      <c r="B123" s="8" t="s">
        <v>115</v>
      </c>
      <c r="C123" s="48" t="s">
        <v>17</v>
      </c>
      <c r="D123" s="49"/>
      <c r="E123" s="54" t="s">
        <v>35</v>
      </c>
      <c r="F123" s="22"/>
      <c r="G123" s="23" t="s">
        <v>102</v>
      </c>
      <c r="H123" s="24"/>
      <c r="I123" s="25"/>
      <c r="J123" s="37"/>
      <c r="K123" s="26"/>
      <c r="L123" s="26"/>
      <c r="M123" s="62">
        <f t="shared" si="3"/>
        <v>0</v>
      </c>
      <c r="N123" s="40"/>
      <c r="O123" s="28"/>
      <c r="P123" s="28"/>
      <c r="Q123" s="69">
        <f t="shared" si="4"/>
        <v>0</v>
      </c>
    </row>
    <row r="124" spans="1:17" s="3" customFormat="1" x14ac:dyDescent="0.25">
      <c r="A124" s="66"/>
      <c r="B124" s="8" t="s">
        <v>115</v>
      </c>
      <c r="C124" s="48" t="s">
        <v>17</v>
      </c>
      <c r="D124" s="49"/>
      <c r="E124" s="54" t="s">
        <v>35</v>
      </c>
      <c r="F124" s="22"/>
      <c r="G124" s="67" t="s">
        <v>105</v>
      </c>
      <c r="H124" s="48"/>
      <c r="I124" s="68"/>
      <c r="J124" s="37"/>
      <c r="K124" s="26"/>
      <c r="L124" s="26"/>
      <c r="M124" s="62">
        <f t="shared" si="3"/>
        <v>0</v>
      </c>
      <c r="N124" s="40"/>
      <c r="O124" s="62"/>
      <c r="P124" s="62"/>
      <c r="Q124" s="27">
        <f t="shared" si="4"/>
        <v>0</v>
      </c>
    </row>
    <row r="125" spans="1:17" s="3" customFormat="1" x14ac:dyDescent="0.25">
      <c r="A125" s="66"/>
      <c r="B125" s="8" t="s">
        <v>120</v>
      </c>
      <c r="C125" s="48" t="s">
        <v>17</v>
      </c>
      <c r="D125" s="49"/>
      <c r="E125" s="54" t="s">
        <v>20</v>
      </c>
      <c r="F125" s="22"/>
      <c r="G125" s="23" t="s">
        <v>102</v>
      </c>
      <c r="H125" s="24"/>
      <c r="I125" s="29"/>
      <c r="J125" s="37"/>
      <c r="K125" s="26"/>
      <c r="L125" s="26"/>
      <c r="M125" s="62">
        <f t="shared" si="3"/>
        <v>0</v>
      </c>
      <c r="N125" s="40">
        <f>1</f>
        <v>1</v>
      </c>
      <c r="O125" s="28"/>
      <c r="P125" s="28"/>
      <c r="Q125" s="69">
        <f t="shared" si="4"/>
        <v>0</v>
      </c>
    </row>
    <row r="126" spans="1:17" s="3" customFormat="1" x14ac:dyDescent="0.25">
      <c r="A126" s="66"/>
      <c r="B126" s="8" t="s">
        <v>120</v>
      </c>
      <c r="C126" s="48" t="s">
        <v>17</v>
      </c>
      <c r="D126" s="49"/>
      <c r="E126" s="54" t="s">
        <v>20</v>
      </c>
      <c r="F126" s="22"/>
      <c r="G126" s="67" t="s">
        <v>104</v>
      </c>
      <c r="H126" s="48"/>
      <c r="I126" s="68"/>
      <c r="J126" s="52"/>
      <c r="K126" s="26"/>
      <c r="L126" s="26"/>
      <c r="M126" s="62">
        <f t="shared" si="3"/>
        <v>0</v>
      </c>
      <c r="N126" s="40"/>
      <c r="O126" s="62"/>
      <c r="P126" s="62"/>
      <c r="Q126" s="69">
        <f t="shared" si="4"/>
        <v>0</v>
      </c>
    </row>
    <row r="127" spans="1:17" s="3" customFormat="1" x14ac:dyDescent="0.25">
      <c r="A127" s="66"/>
      <c r="B127" s="11" t="s">
        <v>72</v>
      </c>
      <c r="C127" s="48" t="s">
        <v>17</v>
      </c>
      <c r="D127" s="49"/>
      <c r="E127" s="50" t="s">
        <v>20</v>
      </c>
      <c r="F127" s="22"/>
      <c r="G127" s="23" t="s">
        <v>102</v>
      </c>
      <c r="H127" s="24"/>
      <c r="I127" s="25"/>
      <c r="J127" s="37"/>
      <c r="K127" s="26"/>
      <c r="L127" s="26"/>
      <c r="M127" s="62">
        <f t="shared" si="3"/>
        <v>0</v>
      </c>
      <c r="N127" s="40">
        <f>2</f>
        <v>2</v>
      </c>
      <c r="O127" s="28"/>
      <c r="P127" s="28"/>
      <c r="Q127" s="69">
        <f t="shared" si="4"/>
        <v>0</v>
      </c>
    </row>
    <row r="128" spans="1:17" s="3" customFormat="1" x14ac:dyDescent="0.25">
      <c r="A128" s="66"/>
      <c r="B128" s="11" t="s">
        <v>72</v>
      </c>
      <c r="C128" s="48" t="s">
        <v>17</v>
      </c>
      <c r="D128" s="49"/>
      <c r="E128" s="50" t="s">
        <v>20</v>
      </c>
      <c r="F128" s="22"/>
      <c r="G128" s="67" t="s">
        <v>104</v>
      </c>
      <c r="H128" s="48"/>
      <c r="I128" s="68"/>
      <c r="J128" s="52"/>
      <c r="K128" s="26"/>
      <c r="L128" s="26"/>
      <c r="M128" s="62">
        <f t="shared" si="3"/>
        <v>0</v>
      </c>
      <c r="N128" s="40"/>
      <c r="O128" s="62"/>
      <c r="P128" s="62"/>
      <c r="Q128" s="69">
        <f t="shared" si="4"/>
        <v>0</v>
      </c>
    </row>
    <row r="129" spans="1:17" s="3" customFormat="1" x14ac:dyDescent="0.25">
      <c r="A129" s="66"/>
      <c r="B129" s="8" t="s">
        <v>73</v>
      </c>
      <c r="C129" s="48" t="s">
        <v>17</v>
      </c>
      <c r="D129" s="49"/>
      <c r="E129" s="50" t="s">
        <v>32</v>
      </c>
      <c r="F129" s="22"/>
      <c r="G129" s="23" t="s">
        <v>102</v>
      </c>
      <c r="H129" s="24"/>
      <c r="I129" s="25"/>
      <c r="J129" s="37"/>
      <c r="K129" s="26"/>
      <c r="L129" s="26"/>
      <c r="M129" s="62">
        <f t="shared" si="3"/>
        <v>0</v>
      </c>
      <c r="N129" s="40">
        <f>4</f>
        <v>4</v>
      </c>
      <c r="O129" s="28"/>
      <c r="P129" s="28"/>
      <c r="Q129" s="69">
        <f t="shared" si="4"/>
        <v>0</v>
      </c>
    </row>
    <row r="130" spans="1:17" s="3" customFormat="1" x14ac:dyDescent="0.25">
      <c r="A130" s="66"/>
      <c r="B130" s="8" t="s">
        <v>73</v>
      </c>
      <c r="C130" s="48" t="s">
        <v>17</v>
      </c>
      <c r="D130" s="49"/>
      <c r="E130" s="50" t="s">
        <v>32</v>
      </c>
      <c r="F130" s="22"/>
      <c r="G130" s="67" t="s">
        <v>107</v>
      </c>
      <c r="H130" s="48"/>
      <c r="I130" s="68"/>
      <c r="J130" s="37"/>
      <c r="K130" s="26"/>
      <c r="L130" s="26"/>
      <c r="M130" s="62">
        <f t="shared" si="3"/>
        <v>0</v>
      </c>
      <c r="N130" s="40"/>
      <c r="O130" s="62"/>
      <c r="P130" s="62"/>
      <c r="Q130" s="27">
        <f t="shared" si="4"/>
        <v>0</v>
      </c>
    </row>
    <row r="131" spans="1:17" s="3" customFormat="1" x14ac:dyDescent="0.25">
      <c r="A131" s="66"/>
      <c r="B131" s="8" t="s">
        <v>144</v>
      </c>
      <c r="C131" s="48" t="s">
        <v>17</v>
      </c>
      <c r="D131" s="49"/>
      <c r="E131" s="50" t="s">
        <v>21</v>
      </c>
      <c r="F131" s="22"/>
      <c r="G131" s="67" t="s">
        <v>102</v>
      </c>
      <c r="H131" s="48"/>
      <c r="I131" s="68"/>
      <c r="J131" s="37"/>
      <c r="K131" s="26"/>
      <c r="L131" s="26"/>
      <c r="M131" s="62">
        <f t="shared" si="3"/>
        <v>0</v>
      </c>
      <c r="N131" s="40"/>
      <c r="O131" s="62"/>
      <c r="P131" s="62"/>
      <c r="Q131" s="27">
        <f t="shared" si="4"/>
        <v>0</v>
      </c>
    </row>
    <row r="132" spans="1:17" s="3" customFormat="1" ht="30" x14ac:dyDescent="0.25">
      <c r="A132" s="66"/>
      <c r="B132" s="11" t="s">
        <v>74</v>
      </c>
      <c r="C132" s="48" t="s">
        <v>135</v>
      </c>
      <c r="D132" s="49" t="s">
        <v>146</v>
      </c>
      <c r="E132" s="50" t="s">
        <v>18</v>
      </c>
      <c r="F132" s="22"/>
      <c r="G132" s="23" t="s">
        <v>102</v>
      </c>
      <c r="H132" s="24"/>
      <c r="I132" s="25"/>
      <c r="J132" s="38"/>
      <c r="K132" s="26"/>
      <c r="L132" s="26"/>
      <c r="M132" s="62">
        <f t="shared" si="3"/>
        <v>0</v>
      </c>
      <c r="N132" s="40"/>
      <c r="O132" s="28"/>
      <c r="P132" s="28"/>
      <c r="Q132" s="69">
        <f t="shared" si="4"/>
        <v>0</v>
      </c>
    </row>
    <row r="133" spans="1:17" s="3" customFormat="1" ht="30" x14ac:dyDescent="0.25">
      <c r="A133" s="66"/>
      <c r="B133" s="11" t="s">
        <v>74</v>
      </c>
      <c r="C133" s="48" t="s">
        <v>135</v>
      </c>
      <c r="D133" s="49" t="s">
        <v>155</v>
      </c>
      <c r="E133" s="50" t="s">
        <v>18</v>
      </c>
      <c r="F133" s="22"/>
      <c r="G133" s="80" t="s">
        <v>106</v>
      </c>
      <c r="H133" s="48"/>
      <c r="I133" s="71"/>
      <c r="J133" s="38"/>
      <c r="K133" s="62"/>
      <c r="L133" s="62"/>
      <c r="M133" s="62">
        <f t="shared" si="3"/>
        <v>0</v>
      </c>
      <c r="N133" s="40"/>
      <c r="O133" s="62"/>
      <c r="P133" s="62"/>
      <c r="Q133" s="27">
        <f t="shared" si="4"/>
        <v>0</v>
      </c>
    </row>
    <row r="134" spans="1:17" s="3" customFormat="1" x14ac:dyDescent="0.25">
      <c r="A134" s="66"/>
      <c r="B134" s="11" t="s">
        <v>126</v>
      </c>
      <c r="C134" s="48" t="s">
        <v>17</v>
      </c>
      <c r="D134" s="49"/>
      <c r="E134" s="50" t="s">
        <v>32</v>
      </c>
      <c r="F134" s="22"/>
      <c r="G134" s="23" t="s">
        <v>102</v>
      </c>
      <c r="H134" s="24"/>
      <c r="I134" s="29"/>
      <c r="J134" s="37"/>
      <c r="K134" s="28"/>
      <c r="L134" s="28"/>
      <c r="M134" s="62">
        <f t="shared" si="3"/>
        <v>0</v>
      </c>
      <c r="N134" s="40">
        <f>3</f>
        <v>3</v>
      </c>
      <c r="O134" s="28"/>
      <c r="P134" s="28"/>
      <c r="Q134" s="69">
        <f t="shared" si="4"/>
        <v>0</v>
      </c>
    </row>
    <row r="135" spans="1:17" s="3" customFormat="1" x14ac:dyDescent="0.25">
      <c r="A135" s="66"/>
      <c r="B135" s="11" t="s">
        <v>126</v>
      </c>
      <c r="C135" s="48" t="s">
        <v>17</v>
      </c>
      <c r="D135" s="49"/>
      <c r="E135" s="50" t="s">
        <v>32</v>
      </c>
      <c r="F135" s="22"/>
      <c r="G135" s="67" t="s">
        <v>107</v>
      </c>
      <c r="H135" s="48"/>
      <c r="I135" s="68"/>
      <c r="J135" s="37"/>
      <c r="K135" s="26"/>
      <c r="L135" s="26"/>
      <c r="M135" s="62">
        <f t="shared" si="3"/>
        <v>0</v>
      </c>
      <c r="N135" s="40"/>
      <c r="O135" s="62"/>
      <c r="P135" s="62"/>
      <c r="Q135" s="27">
        <f t="shared" si="4"/>
        <v>0</v>
      </c>
    </row>
    <row r="136" spans="1:17" s="3" customFormat="1" x14ac:dyDescent="0.25">
      <c r="A136" s="66"/>
      <c r="B136" s="11" t="s">
        <v>75</v>
      </c>
      <c r="C136" s="48" t="s">
        <v>17</v>
      </c>
      <c r="D136" s="49"/>
      <c r="E136" s="50" t="s">
        <v>76</v>
      </c>
      <c r="F136" s="22"/>
      <c r="G136" s="23" t="s">
        <v>102</v>
      </c>
      <c r="H136" s="24"/>
      <c r="I136" s="25"/>
      <c r="J136" s="37"/>
      <c r="K136" s="26"/>
      <c r="L136" s="26"/>
      <c r="M136" s="62">
        <f t="shared" si="3"/>
        <v>0</v>
      </c>
      <c r="N136" s="40"/>
      <c r="O136" s="28"/>
      <c r="P136" s="28"/>
      <c r="Q136" s="69">
        <f t="shared" si="4"/>
        <v>0</v>
      </c>
    </row>
    <row r="137" spans="1:17" s="3" customFormat="1" x14ac:dyDescent="0.25">
      <c r="A137" s="66"/>
      <c r="B137" s="11" t="s">
        <v>75</v>
      </c>
      <c r="C137" s="48" t="s">
        <v>17</v>
      </c>
      <c r="D137" s="49"/>
      <c r="E137" s="50" t="s">
        <v>76</v>
      </c>
      <c r="F137" s="22"/>
      <c r="G137" s="67" t="s">
        <v>104</v>
      </c>
      <c r="H137" s="48"/>
      <c r="I137" s="68"/>
      <c r="J137" s="52"/>
      <c r="K137" s="26"/>
      <c r="L137" s="26"/>
      <c r="M137" s="62">
        <f t="shared" si="3"/>
        <v>0</v>
      </c>
      <c r="N137" s="40"/>
      <c r="O137" s="62"/>
      <c r="P137" s="62"/>
      <c r="Q137" s="69">
        <f t="shared" si="4"/>
        <v>0</v>
      </c>
    </row>
    <row r="138" spans="1:17" s="3" customFormat="1" x14ac:dyDescent="0.25">
      <c r="A138" s="66"/>
      <c r="B138" s="8" t="s">
        <v>77</v>
      </c>
      <c r="C138" s="48" t="s">
        <v>17</v>
      </c>
      <c r="D138" s="49"/>
      <c r="E138" s="50" t="s">
        <v>20</v>
      </c>
      <c r="F138" s="22"/>
      <c r="G138" s="23" t="s">
        <v>102</v>
      </c>
      <c r="H138" s="24"/>
      <c r="I138" s="25"/>
      <c r="J138" s="37"/>
      <c r="K138" s="26"/>
      <c r="L138" s="26"/>
      <c r="M138" s="62">
        <f t="shared" si="3"/>
        <v>0</v>
      </c>
      <c r="N138" s="40"/>
      <c r="O138" s="28"/>
      <c r="P138" s="28"/>
      <c r="Q138" s="69">
        <f t="shared" si="4"/>
        <v>0</v>
      </c>
    </row>
    <row r="139" spans="1:17" s="3" customFormat="1" x14ac:dyDescent="0.25">
      <c r="A139" s="66"/>
      <c r="B139" s="8" t="s">
        <v>77</v>
      </c>
      <c r="C139" s="48" t="s">
        <v>17</v>
      </c>
      <c r="D139" s="49"/>
      <c r="E139" s="50" t="s">
        <v>20</v>
      </c>
      <c r="F139" s="22"/>
      <c r="G139" s="67" t="s">
        <v>104</v>
      </c>
      <c r="H139" s="48"/>
      <c r="I139" s="68"/>
      <c r="J139" s="52"/>
      <c r="K139" s="26"/>
      <c r="L139" s="26"/>
      <c r="M139" s="62">
        <f t="shared" si="3"/>
        <v>0</v>
      </c>
      <c r="N139" s="40"/>
      <c r="O139" s="62"/>
      <c r="P139" s="62"/>
      <c r="Q139" s="69">
        <f t="shared" si="4"/>
        <v>0</v>
      </c>
    </row>
    <row r="140" spans="1:17" s="3" customFormat="1" x14ac:dyDescent="0.25">
      <c r="A140" s="66"/>
      <c r="B140" s="8" t="s">
        <v>138</v>
      </c>
      <c r="C140" s="48" t="s">
        <v>17</v>
      </c>
      <c r="D140" s="49"/>
      <c r="E140" s="50" t="s">
        <v>20</v>
      </c>
      <c r="F140" s="22"/>
      <c r="G140" s="67" t="s">
        <v>102</v>
      </c>
      <c r="H140" s="48"/>
      <c r="I140" s="68"/>
      <c r="J140" s="52"/>
      <c r="K140" s="26"/>
      <c r="L140" s="26"/>
      <c r="M140" s="62">
        <f t="shared" ref="M140:M196" si="5">K140-L140</f>
        <v>0</v>
      </c>
      <c r="N140" s="40"/>
      <c r="O140" s="62"/>
      <c r="P140" s="62"/>
      <c r="Q140" s="69">
        <f t="shared" si="4"/>
        <v>0</v>
      </c>
    </row>
    <row r="141" spans="1:17" s="3" customFormat="1" x14ac:dyDescent="0.25">
      <c r="A141" s="66"/>
      <c r="B141" s="8" t="s">
        <v>127</v>
      </c>
      <c r="C141" s="48" t="s">
        <v>17</v>
      </c>
      <c r="D141" s="49"/>
      <c r="E141" s="50" t="s">
        <v>35</v>
      </c>
      <c r="F141" s="22"/>
      <c r="G141" s="23" t="s">
        <v>102</v>
      </c>
      <c r="H141" s="24"/>
      <c r="I141" s="25"/>
      <c r="J141" s="37"/>
      <c r="K141" s="26"/>
      <c r="L141" s="26"/>
      <c r="M141" s="62">
        <f t="shared" si="5"/>
        <v>0</v>
      </c>
      <c r="N141" s="40"/>
      <c r="O141" s="28"/>
      <c r="P141" s="28"/>
      <c r="Q141" s="69">
        <f t="shared" si="4"/>
        <v>0</v>
      </c>
    </row>
    <row r="142" spans="1:17" s="3" customFormat="1" x14ac:dyDescent="0.25">
      <c r="A142" s="66"/>
      <c r="B142" s="8" t="s">
        <v>78</v>
      </c>
      <c r="C142" s="48" t="s">
        <v>17</v>
      </c>
      <c r="D142" s="49"/>
      <c r="E142" s="50" t="s">
        <v>20</v>
      </c>
      <c r="F142" s="22"/>
      <c r="G142" s="23" t="s">
        <v>102</v>
      </c>
      <c r="H142" s="24"/>
      <c r="I142" s="25"/>
      <c r="J142" s="37"/>
      <c r="K142" s="26"/>
      <c r="L142" s="26"/>
      <c r="M142" s="62">
        <f t="shared" si="5"/>
        <v>0</v>
      </c>
      <c r="N142" s="40"/>
      <c r="O142" s="28"/>
      <c r="P142" s="28"/>
      <c r="Q142" s="69">
        <f t="shared" si="4"/>
        <v>0</v>
      </c>
    </row>
    <row r="143" spans="1:17" s="3" customFormat="1" x14ac:dyDescent="0.25">
      <c r="A143" s="66"/>
      <c r="B143" s="8" t="s">
        <v>78</v>
      </c>
      <c r="C143" s="48" t="s">
        <v>17</v>
      </c>
      <c r="D143" s="49"/>
      <c r="E143" s="50" t="s">
        <v>20</v>
      </c>
      <c r="F143" s="22"/>
      <c r="G143" s="67" t="s">
        <v>104</v>
      </c>
      <c r="H143" s="48"/>
      <c r="I143" s="68"/>
      <c r="J143" s="52"/>
      <c r="K143" s="26"/>
      <c r="L143" s="26"/>
      <c r="M143" s="62">
        <f t="shared" si="5"/>
        <v>0</v>
      </c>
      <c r="N143" s="40"/>
      <c r="O143" s="62"/>
      <c r="P143" s="62"/>
      <c r="Q143" s="69">
        <f t="shared" si="4"/>
        <v>0</v>
      </c>
    </row>
    <row r="144" spans="1:17" s="3" customFormat="1" ht="45" x14ac:dyDescent="0.25">
      <c r="A144" s="66"/>
      <c r="B144" s="8" t="s">
        <v>79</v>
      </c>
      <c r="C144" s="48" t="s">
        <v>135</v>
      </c>
      <c r="D144" s="49" t="s">
        <v>149</v>
      </c>
      <c r="E144" s="50" t="s">
        <v>20</v>
      </c>
      <c r="F144" s="22"/>
      <c r="G144" s="23" t="s">
        <v>102</v>
      </c>
      <c r="H144" s="24"/>
      <c r="I144" s="25"/>
      <c r="J144" s="38"/>
      <c r="K144" s="26"/>
      <c r="L144" s="26"/>
      <c r="M144" s="62">
        <f t="shared" si="5"/>
        <v>0</v>
      </c>
      <c r="N144" s="40"/>
      <c r="O144" s="28"/>
      <c r="P144" s="28"/>
      <c r="Q144" s="27">
        <f t="shared" si="4"/>
        <v>0</v>
      </c>
    </row>
    <row r="145" spans="1:17" s="3" customFormat="1" x14ac:dyDescent="0.25">
      <c r="A145" s="66"/>
      <c r="B145" s="7" t="s">
        <v>80</v>
      </c>
      <c r="C145" s="48" t="s">
        <v>17</v>
      </c>
      <c r="D145" s="49"/>
      <c r="E145" s="54" t="s">
        <v>20</v>
      </c>
      <c r="F145" s="22"/>
      <c r="G145" s="23" t="s">
        <v>102</v>
      </c>
      <c r="H145" s="24"/>
      <c r="I145" s="25"/>
      <c r="J145" s="37"/>
      <c r="K145" s="26"/>
      <c r="L145" s="26"/>
      <c r="M145" s="62">
        <f t="shared" si="5"/>
        <v>0</v>
      </c>
      <c r="N145" s="40"/>
      <c r="O145" s="28"/>
      <c r="P145" s="28"/>
      <c r="Q145" s="69">
        <f t="shared" si="4"/>
        <v>0</v>
      </c>
    </row>
    <row r="146" spans="1:17" s="3" customFormat="1" x14ac:dyDescent="0.25">
      <c r="A146" s="66"/>
      <c r="B146" s="7" t="s">
        <v>80</v>
      </c>
      <c r="C146" s="48" t="s">
        <v>17</v>
      </c>
      <c r="D146" s="49"/>
      <c r="E146" s="54" t="s">
        <v>20</v>
      </c>
      <c r="F146" s="22"/>
      <c r="G146" s="67" t="s">
        <v>104</v>
      </c>
      <c r="H146" s="48"/>
      <c r="I146" s="68"/>
      <c r="J146" s="52"/>
      <c r="K146" s="26"/>
      <c r="L146" s="26"/>
      <c r="M146" s="62">
        <f t="shared" si="5"/>
        <v>0</v>
      </c>
      <c r="N146" s="40"/>
      <c r="O146" s="62"/>
      <c r="P146" s="62"/>
      <c r="Q146" s="69">
        <f t="shared" si="4"/>
        <v>0</v>
      </c>
    </row>
    <row r="147" spans="1:17" s="3" customFormat="1" x14ac:dyDescent="0.25">
      <c r="A147" s="66"/>
      <c r="B147" s="7" t="s">
        <v>81</v>
      </c>
      <c r="C147" s="48" t="s">
        <v>17</v>
      </c>
      <c r="D147" s="49"/>
      <c r="E147" s="54" t="s">
        <v>20</v>
      </c>
      <c r="F147" s="22"/>
      <c r="G147" s="85" t="s">
        <v>102</v>
      </c>
      <c r="H147" s="48"/>
      <c r="I147" s="68"/>
      <c r="J147" s="52"/>
      <c r="K147" s="26"/>
      <c r="L147" s="26"/>
      <c r="M147" s="62">
        <f t="shared" si="5"/>
        <v>0</v>
      </c>
      <c r="N147" s="40"/>
      <c r="O147" s="62"/>
      <c r="P147" s="62"/>
      <c r="Q147" s="69"/>
    </row>
    <row r="148" spans="1:17" s="3" customFormat="1" x14ac:dyDescent="0.25">
      <c r="A148" s="66"/>
      <c r="B148" s="11" t="s">
        <v>139</v>
      </c>
      <c r="C148" s="48" t="s">
        <v>17</v>
      </c>
      <c r="D148" s="49"/>
      <c r="E148" s="54" t="s">
        <v>20</v>
      </c>
      <c r="F148" s="22"/>
      <c r="G148" s="23" t="s">
        <v>102</v>
      </c>
      <c r="H148" s="24"/>
      <c r="I148" s="25"/>
      <c r="J148" s="37"/>
      <c r="K148" s="26"/>
      <c r="L148" s="26"/>
      <c r="M148" s="62">
        <f t="shared" si="5"/>
        <v>0</v>
      </c>
      <c r="N148" s="40"/>
      <c r="O148" s="28"/>
      <c r="P148" s="28"/>
      <c r="Q148" s="69">
        <f t="shared" si="4"/>
        <v>0</v>
      </c>
    </row>
    <row r="149" spans="1:17" s="3" customFormat="1" x14ac:dyDescent="0.25">
      <c r="A149" s="66"/>
      <c r="B149" s="11" t="s">
        <v>139</v>
      </c>
      <c r="C149" s="48"/>
      <c r="D149" s="49"/>
      <c r="E149" s="54"/>
      <c r="F149" s="22"/>
      <c r="G149" s="23" t="s">
        <v>104</v>
      </c>
      <c r="H149" s="24"/>
      <c r="I149" s="25"/>
      <c r="J149" s="37"/>
      <c r="K149" s="26"/>
      <c r="L149" s="26"/>
      <c r="M149" s="62">
        <f t="shared" si="5"/>
        <v>0</v>
      </c>
      <c r="N149" s="40"/>
      <c r="O149" s="28"/>
      <c r="P149" s="28"/>
      <c r="Q149" s="69"/>
    </row>
    <row r="150" spans="1:17" s="3" customFormat="1" x14ac:dyDescent="0.25">
      <c r="A150" s="66"/>
      <c r="B150" s="11" t="s">
        <v>161</v>
      </c>
      <c r="C150" s="48" t="s">
        <v>17</v>
      </c>
      <c r="D150" s="49"/>
      <c r="E150" s="54" t="s">
        <v>20</v>
      </c>
      <c r="F150" s="22"/>
      <c r="G150" s="23" t="s">
        <v>102</v>
      </c>
      <c r="H150" s="24"/>
      <c r="I150" s="25"/>
      <c r="J150" s="37"/>
      <c r="K150" s="26"/>
      <c r="L150" s="26"/>
      <c r="M150" s="62">
        <f t="shared" si="5"/>
        <v>0</v>
      </c>
      <c r="N150" s="40"/>
      <c r="O150" s="28"/>
      <c r="P150" s="28"/>
      <c r="Q150" s="69">
        <f t="shared" ref="Q150:Q197" si="6">O150-P150</f>
        <v>0</v>
      </c>
    </row>
    <row r="151" spans="1:17" s="3" customFormat="1" x14ac:dyDescent="0.25">
      <c r="A151" s="66"/>
      <c r="B151" s="11" t="s">
        <v>161</v>
      </c>
      <c r="C151" s="48" t="s">
        <v>17</v>
      </c>
      <c r="D151" s="49"/>
      <c r="E151" s="54" t="s">
        <v>20</v>
      </c>
      <c r="F151" s="22"/>
      <c r="G151" s="23" t="s">
        <v>104</v>
      </c>
      <c r="H151" s="24"/>
      <c r="I151" s="25"/>
      <c r="J151" s="37"/>
      <c r="K151" s="26"/>
      <c r="L151" s="26"/>
      <c r="M151" s="62">
        <f t="shared" si="5"/>
        <v>0</v>
      </c>
      <c r="N151" s="40"/>
      <c r="O151" s="28"/>
      <c r="P151" s="28"/>
      <c r="Q151" s="69">
        <f t="shared" si="6"/>
        <v>0</v>
      </c>
    </row>
    <row r="152" spans="1:17" s="3" customFormat="1" x14ac:dyDescent="0.25">
      <c r="A152" s="66"/>
      <c r="B152" s="11" t="s">
        <v>168</v>
      </c>
      <c r="C152" s="48"/>
      <c r="D152" s="49"/>
      <c r="E152" s="54"/>
      <c r="F152" s="22"/>
      <c r="G152" s="23" t="s">
        <v>102</v>
      </c>
      <c r="H152" s="24"/>
      <c r="I152" s="25"/>
      <c r="J152" s="37"/>
      <c r="K152" s="26"/>
      <c r="L152" s="26"/>
      <c r="M152" s="62">
        <f t="shared" si="5"/>
        <v>0</v>
      </c>
      <c r="N152" s="40"/>
      <c r="O152" s="28"/>
      <c r="P152" s="28"/>
      <c r="Q152" s="69"/>
    </row>
    <row r="153" spans="1:17" s="3" customFormat="1" x14ac:dyDescent="0.25">
      <c r="A153" s="66"/>
      <c r="B153" s="11" t="s">
        <v>168</v>
      </c>
      <c r="C153" s="48"/>
      <c r="D153" s="49"/>
      <c r="E153" s="54"/>
      <c r="F153" s="22"/>
      <c r="G153" s="23" t="s">
        <v>106</v>
      </c>
      <c r="H153" s="24"/>
      <c r="I153" s="25"/>
      <c r="J153" s="37"/>
      <c r="K153" s="26"/>
      <c r="L153" s="26"/>
      <c r="M153" s="62">
        <f t="shared" si="5"/>
        <v>0</v>
      </c>
      <c r="N153" s="40"/>
      <c r="O153" s="28"/>
      <c r="P153" s="28"/>
      <c r="Q153" s="69"/>
    </row>
    <row r="154" spans="1:17" s="3" customFormat="1" x14ac:dyDescent="0.25">
      <c r="A154" s="66"/>
      <c r="B154" s="8" t="s">
        <v>82</v>
      </c>
      <c r="C154" s="48" t="s">
        <v>17</v>
      </c>
      <c r="D154" s="49"/>
      <c r="E154" s="50" t="s">
        <v>83</v>
      </c>
      <c r="F154" s="22"/>
      <c r="G154" s="23" t="s">
        <v>102</v>
      </c>
      <c r="H154" s="24">
        <v>3</v>
      </c>
      <c r="I154" s="25"/>
      <c r="J154" s="37"/>
      <c r="K154" s="26"/>
      <c r="L154" s="26"/>
      <c r="M154" s="62">
        <f t="shared" si="5"/>
        <v>0</v>
      </c>
      <c r="N154" s="40">
        <f>8</f>
        <v>8</v>
      </c>
      <c r="O154" s="28"/>
      <c r="P154" s="28"/>
      <c r="Q154" s="27">
        <f t="shared" si="6"/>
        <v>0</v>
      </c>
    </row>
    <row r="155" spans="1:17" s="3" customFormat="1" x14ac:dyDescent="0.25">
      <c r="A155" s="66"/>
      <c r="B155" s="8" t="s">
        <v>82</v>
      </c>
      <c r="C155" s="48" t="s">
        <v>17</v>
      </c>
      <c r="D155" s="49"/>
      <c r="E155" s="50" t="s">
        <v>83</v>
      </c>
      <c r="F155" s="22"/>
      <c r="G155" s="67" t="s">
        <v>108</v>
      </c>
      <c r="H155" s="48"/>
      <c r="I155" s="68"/>
      <c r="J155" s="37"/>
      <c r="K155" s="26"/>
      <c r="L155" s="26"/>
      <c r="M155" s="62">
        <f t="shared" si="5"/>
        <v>0</v>
      </c>
      <c r="N155" s="40"/>
      <c r="O155" s="62"/>
      <c r="P155" s="62"/>
      <c r="Q155" s="69">
        <f t="shared" si="6"/>
        <v>0</v>
      </c>
    </row>
    <row r="156" spans="1:17" s="3" customFormat="1" x14ac:dyDescent="0.25">
      <c r="A156" s="66"/>
      <c r="B156" s="8" t="s">
        <v>82</v>
      </c>
      <c r="C156" s="48" t="s">
        <v>17</v>
      </c>
      <c r="D156" s="49"/>
      <c r="E156" s="54" t="s">
        <v>164</v>
      </c>
      <c r="F156" s="22"/>
      <c r="G156" s="67" t="s">
        <v>104</v>
      </c>
      <c r="H156" s="48"/>
      <c r="I156" s="68"/>
      <c r="J156" s="37"/>
      <c r="K156" s="26"/>
      <c r="L156" s="26"/>
      <c r="M156" s="62">
        <f t="shared" si="5"/>
        <v>0</v>
      </c>
      <c r="N156" s="40"/>
      <c r="O156" s="62"/>
      <c r="P156" s="62"/>
      <c r="Q156" s="69">
        <f t="shared" si="6"/>
        <v>0</v>
      </c>
    </row>
    <row r="157" spans="1:17" s="3" customFormat="1" x14ac:dyDescent="0.25">
      <c r="A157" s="66"/>
      <c r="B157" s="8" t="s">
        <v>84</v>
      </c>
      <c r="C157" s="48" t="s">
        <v>17</v>
      </c>
      <c r="D157" s="49"/>
      <c r="E157" s="54" t="s">
        <v>20</v>
      </c>
      <c r="F157" s="22"/>
      <c r="G157" s="23" t="s">
        <v>102</v>
      </c>
      <c r="H157" s="24"/>
      <c r="I157" s="25"/>
      <c r="J157" s="37"/>
      <c r="K157" s="26"/>
      <c r="L157" s="26"/>
      <c r="M157" s="62">
        <f t="shared" si="5"/>
        <v>0</v>
      </c>
      <c r="N157" s="40"/>
      <c r="O157" s="28"/>
      <c r="P157" s="28"/>
      <c r="Q157" s="27">
        <f t="shared" si="6"/>
        <v>0</v>
      </c>
    </row>
    <row r="158" spans="1:17" s="3" customFormat="1" x14ac:dyDescent="0.25">
      <c r="A158" s="66"/>
      <c r="B158" s="8" t="s">
        <v>84</v>
      </c>
      <c r="C158" s="48" t="s">
        <v>17</v>
      </c>
      <c r="D158" s="49"/>
      <c r="E158" s="54" t="s">
        <v>20</v>
      </c>
      <c r="F158" s="22"/>
      <c r="G158" s="67" t="s">
        <v>104</v>
      </c>
      <c r="H158" s="48"/>
      <c r="I158" s="68"/>
      <c r="J158" s="52"/>
      <c r="K158" s="26"/>
      <c r="L158" s="26"/>
      <c r="M158" s="62">
        <f t="shared" si="5"/>
        <v>0</v>
      </c>
      <c r="N158" s="40"/>
      <c r="O158" s="62"/>
      <c r="P158" s="62"/>
      <c r="Q158" s="69">
        <f t="shared" si="6"/>
        <v>0</v>
      </c>
    </row>
    <row r="159" spans="1:17" s="3" customFormat="1" x14ac:dyDescent="0.25">
      <c r="A159" s="66"/>
      <c r="B159" s="8" t="s">
        <v>85</v>
      </c>
      <c r="C159" s="48" t="s">
        <v>17</v>
      </c>
      <c r="D159" s="49"/>
      <c r="E159" s="54" t="s">
        <v>20</v>
      </c>
      <c r="F159" s="22"/>
      <c r="G159" s="23" t="s">
        <v>102</v>
      </c>
      <c r="H159" s="24"/>
      <c r="I159" s="25"/>
      <c r="J159" s="37"/>
      <c r="K159" s="26"/>
      <c r="L159" s="26"/>
      <c r="M159" s="62">
        <f t="shared" si="5"/>
        <v>0</v>
      </c>
      <c r="N159" s="40"/>
      <c r="O159" s="28"/>
      <c r="P159" s="28"/>
      <c r="Q159" s="27">
        <f t="shared" si="6"/>
        <v>0</v>
      </c>
    </row>
    <row r="160" spans="1:17" s="3" customFormat="1" x14ac:dyDescent="0.25">
      <c r="A160" s="66"/>
      <c r="B160" s="11" t="s">
        <v>117</v>
      </c>
      <c r="C160" s="48" t="s">
        <v>17</v>
      </c>
      <c r="D160" s="49"/>
      <c r="E160" s="54" t="s">
        <v>20</v>
      </c>
      <c r="F160" s="22"/>
      <c r="G160" s="67" t="s">
        <v>104</v>
      </c>
      <c r="H160" s="48"/>
      <c r="I160" s="68"/>
      <c r="J160" s="52"/>
      <c r="K160" s="53"/>
      <c r="L160" s="53"/>
      <c r="M160" s="62">
        <f t="shared" si="5"/>
        <v>0</v>
      </c>
      <c r="N160" s="43"/>
      <c r="O160" s="62"/>
      <c r="P160" s="62"/>
      <c r="Q160" s="69">
        <f t="shared" si="6"/>
        <v>0</v>
      </c>
    </row>
    <row r="161" spans="1:17" s="3" customFormat="1" x14ac:dyDescent="0.25">
      <c r="A161" s="66"/>
      <c r="B161" s="11" t="s">
        <v>117</v>
      </c>
      <c r="C161" s="48" t="s">
        <v>17</v>
      </c>
      <c r="D161" s="49"/>
      <c r="E161" s="54" t="s">
        <v>20</v>
      </c>
      <c r="F161" s="22"/>
      <c r="G161" s="23" t="s">
        <v>102</v>
      </c>
      <c r="H161" s="24"/>
      <c r="I161" s="29"/>
      <c r="J161" s="37"/>
      <c r="K161" s="26"/>
      <c r="L161" s="26"/>
      <c r="M161" s="62">
        <f t="shared" si="5"/>
        <v>0</v>
      </c>
      <c r="N161" s="40">
        <f>2</f>
        <v>2</v>
      </c>
      <c r="O161" s="28"/>
      <c r="P161" s="28"/>
      <c r="Q161" s="27">
        <f t="shared" si="6"/>
        <v>0</v>
      </c>
    </row>
    <row r="162" spans="1:17" s="3" customFormat="1" x14ac:dyDescent="0.25">
      <c r="A162" s="66"/>
      <c r="B162" s="11" t="s">
        <v>132</v>
      </c>
      <c r="C162" s="48" t="s">
        <v>17</v>
      </c>
      <c r="D162" s="49"/>
      <c r="E162" s="54" t="s">
        <v>20</v>
      </c>
      <c r="F162" s="22"/>
      <c r="G162" s="23" t="s">
        <v>102</v>
      </c>
      <c r="H162" s="24"/>
      <c r="I162" s="29"/>
      <c r="J162" s="37"/>
      <c r="K162" s="26"/>
      <c r="L162" s="26"/>
      <c r="M162" s="62">
        <f t="shared" si="5"/>
        <v>0</v>
      </c>
      <c r="N162" s="40"/>
      <c r="O162" s="28"/>
      <c r="P162" s="28"/>
      <c r="Q162" s="69">
        <f t="shared" si="6"/>
        <v>0</v>
      </c>
    </row>
    <row r="163" spans="1:17" s="3" customFormat="1" x14ac:dyDescent="0.25">
      <c r="A163" s="66"/>
      <c r="B163" s="11" t="s">
        <v>166</v>
      </c>
      <c r="C163" s="48" t="s">
        <v>17</v>
      </c>
      <c r="D163" s="49"/>
      <c r="E163" s="54" t="s">
        <v>20</v>
      </c>
      <c r="F163" s="22"/>
      <c r="G163" s="23" t="s">
        <v>102</v>
      </c>
      <c r="H163" s="24"/>
      <c r="I163" s="29"/>
      <c r="J163" s="37"/>
      <c r="K163" s="26"/>
      <c r="L163" s="26"/>
      <c r="M163" s="62">
        <f t="shared" si="5"/>
        <v>0</v>
      </c>
      <c r="N163" s="40"/>
      <c r="O163" s="28"/>
      <c r="P163" s="28"/>
      <c r="Q163" s="69"/>
    </row>
    <row r="164" spans="1:17" s="4" customFormat="1" x14ac:dyDescent="0.25">
      <c r="A164" s="66"/>
      <c r="B164" s="11" t="s">
        <v>86</v>
      </c>
      <c r="C164" s="48" t="s">
        <v>17</v>
      </c>
      <c r="D164" s="49"/>
      <c r="E164" s="54" t="s">
        <v>20</v>
      </c>
      <c r="F164" s="22"/>
      <c r="G164" s="23" t="s">
        <v>102</v>
      </c>
      <c r="H164" s="24"/>
      <c r="I164" s="25"/>
      <c r="J164" s="37"/>
      <c r="K164" s="26"/>
      <c r="L164" s="26"/>
      <c r="M164" s="62">
        <f t="shared" si="5"/>
        <v>0</v>
      </c>
      <c r="N164" s="40"/>
      <c r="O164" s="28"/>
      <c r="P164" s="28"/>
      <c r="Q164" s="69">
        <f t="shared" si="6"/>
        <v>0</v>
      </c>
    </row>
    <row r="165" spans="1:17" s="4" customFormat="1" x14ac:dyDescent="0.25">
      <c r="A165" s="66"/>
      <c r="B165" s="11" t="s">
        <v>86</v>
      </c>
      <c r="C165" s="48" t="s">
        <v>17</v>
      </c>
      <c r="D165" s="49"/>
      <c r="E165" s="54" t="s">
        <v>20</v>
      </c>
      <c r="F165" s="22"/>
      <c r="G165" s="67" t="s">
        <v>104</v>
      </c>
      <c r="H165" s="48"/>
      <c r="I165" s="68"/>
      <c r="J165" s="52"/>
      <c r="K165" s="26"/>
      <c r="L165" s="26"/>
      <c r="M165" s="62">
        <f t="shared" si="5"/>
        <v>0</v>
      </c>
      <c r="N165" s="43"/>
      <c r="O165" s="62"/>
      <c r="P165" s="62"/>
      <c r="Q165" s="69">
        <f t="shared" si="6"/>
        <v>0</v>
      </c>
    </row>
    <row r="166" spans="1:17" s="3" customFormat="1" x14ac:dyDescent="0.25">
      <c r="A166" s="66"/>
      <c r="B166" s="8" t="s">
        <v>87</v>
      </c>
      <c r="C166" s="48" t="s">
        <v>17</v>
      </c>
      <c r="D166" s="49"/>
      <c r="E166" s="50" t="s">
        <v>88</v>
      </c>
      <c r="F166" s="22"/>
      <c r="G166" s="23" t="s">
        <v>102</v>
      </c>
      <c r="H166" s="24"/>
      <c r="I166" s="25"/>
      <c r="J166" s="37"/>
      <c r="K166" s="26"/>
      <c r="L166" s="26"/>
      <c r="M166" s="62">
        <f t="shared" si="5"/>
        <v>0</v>
      </c>
      <c r="N166" s="40"/>
      <c r="O166" s="28"/>
      <c r="P166" s="28"/>
      <c r="Q166" s="69">
        <f t="shared" si="6"/>
        <v>0</v>
      </c>
    </row>
    <row r="167" spans="1:17" s="3" customFormat="1" x14ac:dyDescent="0.25">
      <c r="A167" s="66"/>
      <c r="B167" s="8" t="s">
        <v>87</v>
      </c>
      <c r="C167" s="48" t="s">
        <v>17</v>
      </c>
      <c r="D167" s="49"/>
      <c r="E167" s="50" t="s">
        <v>88</v>
      </c>
      <c r="F167" s="22"/>
      <c r="G167" s="67" t="s">
        <v>104</v>
      </c>
      <c r="H167" s="48"/>
      <c r="I167" s="68"/>
      <c r="J167" s="52"/>
      <c r="K167" s="26"/>
      <c r="L167" s="26"/>
      <c r="M167" s="62">
        <f t="shared" si="5"/>
        <v>0</v>
      </c>
      <c r="N167" s="40"/>
      <c r="O167" s="62"/>
      <c r="P167" s="62"/>
      <c r="Q167" s="69">
        <f t="shared" si="6"/>
        <v>0</v>
      </c>
    </row>
    <row r="168" spans="1:17" s="3" customFormat="1" x14ac:dyDescent="0.25">
      <c r="A168" s="66"/>
      <c r="B168" s="8" t="s">
        <v>87</v>
      </c>
      <c r="C168" s="48" t="s">
        <v>17</v>
      </c>
      <c r="D168" s="49"/>
      <c r="E168" s="50" t="s">
        <v>88</v>
      </c>
      <c r="F168" s="22"/>
      <c r="G168" s="67" t="s">
        <v>108</v>
      </c>
      <c r="H168" s="48"/>
      <c r="I168" s="68"/>
      <c r="J168" s="37"/>
      <c r="K168" s="26"/>
      <c r="L168" s="26"/>
      <c r="M168" s="62">
        <f t="shared" si="5"/>
        <v>0</v>
      </c>
      <c r="N168" s="40"/>
      <c r="O168" s="62"/>
      <c r="P168" s="62"/>
      <c r="Q168" s="69">
        <f t="shared" si="6"/>
        <v>0</v>
      </c>
    </row>
    <row r="169" spans="1:17" s="3" customFormat="1" x14ac:dyDescent="0.25">
      <c r="A169" s="66"/>
      <c r="B169" s="8" t="s">
        <v>89</v>
      </c>
      <c r="C169" s="48" t="s">
        <v>17</v>
      </c>
      <c r="D169" s="49"/>
      <c r="E169" s="54" t="s">
        <v>20</v>
      </c>
      <c r="F169" s="22"/>
      <c r="G169" s="23" t="s">
        <v>102</v>
      </c>
      <c r="H169" s="24"/>
      <c r="I169" s="25"/>
      <c r="J169" s="37"/>
      <c r="K169" s="26"/>
      <c r="L169" s="26"/>
      <c r="M169" s="62">
        <f t="shared" si="5"/>
        <v>0</v>
      </c>
      <c r="N169" s="40">
        <f>3</f>
        <v>3</v>
      </c>
      <c r="O169" s="28"/>
      <c r="P169" s="28"/>
      <c r="Q169" s="27">
        <f t="shared" si="6"/>
        <v>0</v>
      </c>
    </row>
    <row r="170" spans="1:17" s="3" customFormat="1" x14ac:dyDescent="0.25">
      <c r="A170" s="66"/>
      <c r="B170" s="8" t="s">
        <v>89</v>
      </c>
      <c r="C170" s="48" t="s">
        <v>17</v>
      </c>
      <c r="D170" s="49"/>
      <c r="E170" s="54" t="s">
        <v>20</v>
      </c>
      <c r="F170" s="22"/>
      <c r="G170" s="67" t="s">
        <v>104</v>
      </c>
      <c r="H170" s="48"/>
      <c r="I170" s="68"/>
      <c r="J170" s="52"/>
      <c r="K170" s="26"/>
      <c r="L170" s="26"/>
      <c r="M170" s="62">
        <f t="shared" si="5"/>
        <v>0</v>
      </c>
      <c r="N170" s="40"/>
      <c r="O170" s="62"/>
      <c r="P170" s="62"/>
      <c r="Q170" s="69">
        <f t="shared" si="6"/>
        <v>0</v>
      </c>
    </row>
    <row r="171" spans="1:17" s="3" customFormat="1" x14ac:dyDescent="0.25">
      <c r="A171" s="66"/>
      <c r="B171" s="8" t="s">
        <v>90</v>
      </c>
      <c r="C171" s="48" t="s">
        <v>17</v>
      </c>
      <c r="D171" s="49"/>
      <c r="E171" s="54" t="s">
        <v>91</v>
      </c>
      <c r="F171" s="22"/>
      <c r="G171" s="23" t="s">
        <v>102</v>
      </c>
      <c r="H171" s="24"/>
      <c r="I171" s="25"/>
      <c r="J171" s="37"/>
      <c r="K171" s="26"/>
      <c r="L171" s="26"/>
      <c r="M171" s="62">
        <f t="shared" si="5"/>
        <v>0</v>
      </c>
      <c r="N171" s="95"/>
      <c r="O171" s="26"/>
      <c r="P171" s="26"/>
      <c r="Q171" s="27">
        <f t="shared" si="6"/>
        <v>0</v>
      </c>
    </row>
    <row r="172" spans="1:17" s="3" customFormat="1" x14ac:dyDescent="0.25">
      <c r="A172" s="66"/>
      <c r="B172" s="8" t="s">
        <v>90</v>
      </c>
      <c r="C172" s="48" t="s">
        <v>17</v>
      </c>
      <c r="D172" s="49"/>
      <c r="E172" s="54" t="s">
        <v>91</v>
      </c>
      <c r="F172" s="22"/>
      <c r="G172" s="67" t="s">
        <v>104</v>
      </c>
      <c r="H172" s="48"/>
      <c r="I172" s="68"/>
      <c r="J172" s="52"/>
      <c r="K172" s="26"/>
      <c r="L172" s="26"/>
      <c r="M172" s="62">
        <f t="shared" si="5"/>
        <v>0</v>
      </c>
      <c r="N172" s="40"/>
      <c r="O172" s="62"/>
      <c r="P172" s="62"/>
      <c r="Q172" s="69">
        <f t="shared" si="6"/>
        <v>0</v>
      </c>
    </row>
    <row r="173" spans="1:17" s="3" customFormat="1" x14ac:dyDescent="0.25">
      <c r="A173" s="66"/>
      <c r="B173" s="8" t="s">
        <v>92</v>
      </c>
      <c r="C173" s="48" t="s">
        <v>17</v>
      </c>
      <c r="D173" s="49"/>
      <c r="E173" s="54" t="s">
        <v>35</v>
      </c>
      <c r="F173" s="22"/>
      <c r="G173" s="23" t="s">
        <v>102</v>
      </c>
      <c r="H173" s="24">
        <v>1</v>
      </c>
      <c r="I173" s="25"/>
      <c r="J173" s="37"/>
      <c r="K173" s="26"/>
      <c r="L173" s="26"/>
      <c r="M173" s="62">
        <f t="shared" si="5"/>
        <v>0</v>
      </c>
      <c r="N173" s="40">
        <f>10</f>
        <v>10</v>
      </c>
      <c r="O173" s="28"/>
      <c r="P173" s="28"/>
      <c r="Q173" s="27">
        <f t="shared" si="6"/>
        <v>0</v>
      </c>
    </row>
    <row r="174" spans="1:17" s="3" customFormat="1" x14ac:dyDescent="0.25">
      <c r="A174" s="66"/>
      <c r="B174" s="8" t="s">
        <v>92</v>
      </c>
      <c r="C174" s="48" t="s">
        <v>17</v>
      </c>
      <c r="D174" s="49"/>
      <c r="E174" s="54" t="s">
        <v>35</v>
      </c>
      <c r="F174" s="22"/>
      <c r="G174" s="72" t="s">
        <v>107</v>
      </c>
      <c r="H174" s="48"/>
      <c r="I174" s="68"/>
      <c r="J174" s="37"/>
      <c r="K174" s="26"/>
      <c r="L174" s="26"/>
      <c r="M174" s="62">
        <f t="shared" si="5"/>
        <v>0</v>
      </c>
      <c r="N174" s="40"/>
      <c r="O174" s="26"/>
      <c r="P174" s="26"/>
      <c r="Q174" s="69">
        <f t="shared" si="6"/>
        <v>0</v>
      </c>
    </row>
    <row r="175" spans="1:17" s="3" customFormat="1" x14ac:dyDescent="0.25">
      <c r="A175" s="66"/>
      <c r="B175" s="8" t="s">
        <v>156</v>
      </c>
      <c r="C175" s="48" t="s">
        <v>17</v>
      </c>
      <c r="D175" s="49"/>
      <c r="E175" s="54" t="s">
        <v>91</v>
      </c>
      <c r="F175" s="22"/>
      <c r="G175" s="72" t="s">
        <v>102</v>
      </c>
      <c r="H175" s="48"/>
      <c r="I175" s="68"/>
      <c r="J175" s="37"/>
      <c r="K175" s="26"/>
      <c r="L175" s="26"/>
      <c r="M175" s="62">
        <f t="shared" si="5"/>
        <v>0</v>
      </c>
      <c r="N175" s="40"/>
      <c r="O175" s="26"/>
      <c r="P175" s="26"/>
      <c r="Q175" s="69"/>
    </row>
    <row r="176" spans="1:17" s="4" customFormat="1" x14ac:dyDescent="0.25">
      <c r="A176" s="66"/>
      <c r="B176" s="8" t="s">
        <v>93</v>
      </c>
      <c r="C176" s="48" t="s">
        <v>17</v>
      </c>
      <c r="D176" s="49"/>
      <c r="E176" s="50" t="s">
        <v>32</v>
      </c>
      <c r="F176" s="22"/>
      <c r="G176" s="23" t="s">
        <v>102</v>
      </c>
      <c r="H176" s="24"/>
      <c r="I176" s="25"/>
      <c r="J176" s="37"/>
      <c r="K176" s="26"/>
      <c r="L176" s="26"/>
      <c r="M176" s="62">
        <f t="shared" si="5"/>
        <v>0</v>
      </c>
      <c r="N176" s="40"/>
      <c r="O176" s="28"/>
      <c r="P176" s="28"/>
      <c r="Q176" s="27">
        <f t="shared" si="6"/>
        <v>0</v>
      </c>
    </row>
    <row r="177" spans="1:17" s="4" customFormat="1" x14ac:dyDescent="0.25">
      <c r="A177" s="66"/>
      <c r="B177" s="8" t="s">
        <v>93</v>
      </c>
      <c r="C177" s="48" t="s">
        <v>17</v>
      </c>
      <c r="D177" s="49"/>
      <c r="E177" s="50" t="s">
        <v>32</v>
      </c>
      <c r="F177" s="22"/>
      <c r="G177" s="72" t="s">
        <v>107</v>
      </c>
      <c r="H177" s="48"/>
      <c r="I177" s="68"/>
      <c r="J177" s="52"/>
      <c r="K177" s="26"/>
      <c r="L177" s="26"/>
      <c r="M177" s="62">
        <f t="shared" si="5"/>
        <v>0</v>
      </c>
      <c r="N177" s="43"/>
      <c r="O177" s="26"/>
      <c r="P177" s="26"/>
      <c r="Q177" s="69">
        <f t="shared" si="6"/>
        <v>0</v>
      </c>
    </row>
    <row r="178" spans="1:17" s="4" customFormat="1" ht="30" x14ac:dyDescent="0.25">
      <c r="A178" s="66"/>
      <c r="B178" s="8" t="s">
        <v>119</v>
      </c>
      <c r="C178" s="48" t="s">
        <v>135</v>
      </c>
      <c r="D178" s="49" t="s">
        <v>140</v>
      </c>
      <c r="E178" s="54" t="s">
        <v>91</v>
      </c>
      <c r="F178" s="22"/>
      <c r="G178" s="15" t="s">
        <v>102</v>
      </c>
      <c r="H178" s="24">
        <v>1</v>
      </c>
      <c r="I178" s="25"/>
      <c r="J178" s="38"/>
      <c r="K178" s="26"/>
      <c r="L178" s="26"/>
      <c r="M178" s="62">
        <f t="shared" si="5"/>
        <v>0</v>
      </c>
      <c r="N178" s="40"/>
      <c r="O178" s="26"/>
      <c r="P178" s="26"/>
      <c r="Q178" s="27">
        <f t="shared" si="6"/>
        <v>0</v>
      </c>
    </row>
    <row r="179" spans="1:17" s="4" customFormat="1" x14ac:dyDescent="0.25">
      <c r="A179" s="66"/>
      <c r="B179" s="8" t="s">
        <v>156</v>
      </c>
      <c r="C179" s="48"/>
      <c r="D179" s="49"/>
      <c r="E179" s="54"/>
      <c r="F179" s="22"/>
      <c r="G179" s="15" t="s">
        <v>104</v>
      </c>
      <c r="H179" s="24"/>
      <c r="I179" s="25"/>
      <c r="J179" s="38"/>
      <c r="K179" s="26"/>
      <c r="L179" s="26"/>
      <c r="M179" s="62">
        <f t="shared" si="5"/>
        <v>0</v>
      </c>
      <c r="N179" s="40"/>
      <c r="O179" s="26"/>
      <c r="P179" s="26"/>
      <c r="Q179" s="69">
        <f t="shared" si="6"/>
        <v>0</v>
      </c>
    </row>
    <row r="180" spans="1:17" s="4" customFormat="1" x14ac:dyDescent="0.25">
      <c r="A180" s="66"/>
      <c r="B180" s="8" t="s">
        <v>165</v>
      </c>
      <c r="C180" s="48"/>
      <c r="D180" s="49"/>
      <c r="E180" s="54" t="s">
        <v>18</v>
      </c>
      <c r="F180" s="22"/>
      <c r="G180" s="15" t="s">
        <v>106</v>
      </c>
      <c r="H180" s="24"/>
      <c r="I180" s="25"/>
      <c r="J180" s="38"/>
      <c r="K180" s="26"/>
      <c r="L180" s="26"/>
      <c r="M180" s="62">
        <f t="shared" si="5"/>
        <v>0</v>
      </c>
      <c r="N180" s="40"/>
      <c r="O180" s="26"/>
      <c r="P180" s="26"/>
      <c r="Q180" s="69"/>
    </row>
    <row r="181" spans="1:17" s="4" customFormat="1" x14ac:dyDescent="0.25">
      <c r="A181" s="66"/>
      <c r="B181" s="8" t="s">
        <v>156</v>
      </c>
      <c r="C181" s="48"/>
      <c r="D181" s="49"/>
      <c r="E181" s="54"/>
      <c r="F181" s="22"/>
      <c r="G181" s="15" t="s">
        <v>106</v>
      </c>
      <c r="H181" s="24"/>
      <c r="I181" s="25"/>
      <c r="J181" s="38"/>
      <c r="K181" s="26"/>
      <c r="L181" s="26"/>
      <c r="M181" s="62">
        <f t="shared" si="5"/>
        <v>0</v>
      </c>
      <c r="N181" s="40"/>
      <c r="O181" s="26"/>
      <c r="P181" s="26"/>
      <c r="Q181" s="27"/>
    </row>
    <row r="182" spans="1:17" s="4" customFormat="1" ht="30" x14ac:dyDescent="0.25">
      <c r="A182" s="66"/>
      <c r="B182" s="75" t="s">
        <v>119</v>
      </c>
      <c r="C182" s="48" t="s">
        <v>152</v>
      </c>
      <c r="D182" s="49" t="s">
        <v>140</v>
      </c>
      <c r="E182" s="50" t="s">
        <v>20</v>
      </c>
      <c r="F182" s="22"/>
      <c r="G182" s="72" t="s">
        <v>104</v>
      </c>
      <c r="H182" s="48">
        <v>4</v>
      </c>
      <c r="I182" s="71"/>
      <c r="J182" s="55"/>
      <c r="K182" s="26"/>
      <c r="L182" s="26"/>
      <c r="M182" s="62">
        <f t="shared" si="5"/>
        <v>0</v>
      </c>
      <c r="N182" s="40"/>
      <c r="O182" s="62"/>
      <c r="P182" s="62"/>
      <c r="Q182" s="69">
        <f t="shared" ref="Q182" si="7">O182-P182</f>
        <v>0</v>
      </c>
    </row>
    <row r="183" spans="1:17" s="6" customFormat="1" ht="45" x14ac:dyDescent="0.25">
      <c r="A183" s="48"/>
      <c r="B183" s="8" t="s">
        <v>94</v>
      </c>
      <c r="C183" s="48" t="s">
        <v>135</v>
      </c>
      <c r="D183" s="49" t="s">
        <v>150</v>
      </c>
      <c r="E183" s="54" t="s">
        <v>20</v>
      </c>
      <c r="F183" s="22"/>
      <c r="G183" s="7" t="s">
        <v>102</v>
      </c>
      <c r="H183" s="24"/>
      <c r="I183" s="25"/>
      <c r="J183" s="38"/>
      <c r="K183" s="30"/>
      <c r="L183" s="30"/>
      <c r="M183" s="62">
        <f t="shared" si="5"/>
        <v>0</v>
      </c>
      <c r="N183" s="40"/>
      <c r="O183" s="31"/>
      <c r="P183" s="31"/>
      <c r="Q183" s="27">
        <f t="shared" si="6"/>
        <v>0</v>
      </c>
    </row>
    <row r="184" spans="1:17" s="6" customFormat="1" ht="60" x14ac:dyDescent="0.25">
      <c r="A184" s="48"/>
      <c r="B184" s="8" t="s">
        <v>94</v>
      </c>
      <c r="C184" s="56" t="s">
        <v>110</v>
      </c>
      <c r="D184" s="49" t="s">
        <v>111</v>
      </c>
      <c r="E184" s="54" t="s">
        <v>20</v>
      </c>
      <c r="F184" s="22"/>
      <c r="G184" s="73" t="s">
        <v>104</v>
      </c>
      <c r="H184" s="48">
        <v>1</v>
      </c>
      <c r="I184" s="71"/>
      <c r="J184" s="55"/>
      <c r="K184" s="30"/>
      <c r="L184" s="30"/>
      <c r="M184" s="62">
        <f t="shared" si="5"/>
        <v>0</v>
      </c>
      <c r="N184" s="40"/>
      <c r="O184" s="76"/>
      <c r="P184" s="76"/>
      <c r="Q184" s="69">
        <f t="shared" si="6"/>
        <v>0</v>
      </c>
    </row>
    <row r="185" spans="1:17" s="3" customFormat="1" x14ac:dyDescent="0.25">
      <c r="A185" s="66"/>
      <c r="B185" s="11" t="s">
        <v>95</v>
      </c>
      <c r="C185" s="48" t="s">
        <v>17</v>
      </c>
      <c r="D185" s="49"/>
      <c r="E185" s="54" t="s">
        <v>20</v>
      </c>
      <c r="F185" s="22"/>
      <c r="G185" s="23" t="s">
        <v>102</v>
      </c>
      <c r="H185" s="24"/>
      <c r="I185" s="25"/>
      <c r="J185" s="37"/>
      <c r="K185" s="26"/>
      <c r="L185" s="26"/>
      <c r="M185" s="62">
        <f t="shared" si="5"/>
        <v>0</v>
      </c>
      <c r="N185" s="40"/>
      <c r="O185" s="28"/>
      <c r="P185" s="28"/>
      <c r="Q185" s="27">
        <f t="shared" si="6"/>
        <v>0</v>
      </c>
    </row>
    <row r="186" spans="1:17" s="3" customFormat="1" x14ac:dyDescent="0.25">
      <c r="A186" s="66"/>
      <c r="B186" s="11" t="s">
        <v>121</v>
      </c>
      <c r="C186" s="48" t="s">
        <v>17</v>
      </c>
      <c r="D186" s="49"/>
      <c r="E186" s="54" t="s">
        <v>20</v>
      </c>
      <c r="F186" s="22"/>
      <c r="G186" s="23" t="s">
        <v>102</v>
      </c>
      <c r="H186" s="24">
        <v>1</v>
      </c>
      <c r="I186" s="25"/>
      <c r="J186" s="37"/>
      <c r="K186" s="26"/>
      <c r="L186" s="26"/>
      <c r="M186" s="62">
        <f t="shared" si="5"/>
        <v>0</v>
      </c>
      <c r="N186" s="40">
        <f>1</f>
        <v>1</v>
      </c>
      <c r="O186" s="28"/>
      <c r="P186" s="28"/>
      <c r="Q186" s="69">
        <f t="shared" si="6"/>
        <v>0</v>
      </c>
    </row>
    <row r="187" spans="1:17" s="3" customFormat="1" x14ac:dyDescent="0.25">
      <c r="A187" s="66"/>
      <c r="B187" s="11" t="s">
        <v>121</v>
      </c>
      <c r="C187" s="48" t="s">
        <v>17</v>
      </c>
      <c r="D187" s="49"/>
      <c r="E187" s="50" t="s">
        <v>21</v>
      </c>
      <c r="F187" s="22"/>
      <c r="G187" s="67" t="s">
        <v>108</v>
      </c>
      <c r="H187" s="48"/>
      <c r="I187" s="71"/>
      <c r="J187" s="52"/>
      <c r="K187" s="53"/>
      <c r="L187" s="53"/>
      <c r="M187" s="62">
        <f t="shared" si="5"/>
        <v>0</v>
      </c>
      <c r="N187" s="43">
        <v>1</v>
      </c>
      <c r="O187" s="62"/>
      <c r="P187" s="62"/>
      <c r="Q187" s="27">
        <f t="shared" si="6"/>
        <v>0</v>
      </c>
    </row>
    <row r="188" spans="1:17" s="3" customFormat="1" x14ac:dyDescent="0.25">
      <c r="A188" s="66"/>
      <c r="B188" s="7" t="s">
        <v>96</v>
      </c>
      <c r="C188" s="48" t="s">
        <v>17</v>
      </c>
      <c r="D188" s="49"/>
      <c r="E188" s="54" t="s">
        <v>20</v>
      </c>
      <c r="F188" s="22"/>
      <c r="G188" s="23" t="s">
        <v>102</v>
      </c>
      <c r="H188" s="24"/>
      <c r="I188" s="25"/>
      <c r="J188" s="37"/>
      <c r="K188" s="26"/>
      <c r="L188" s="26"/>
      <c r="M188" s="62">
        <f t="shared" si="5"/>
        <v>0</v>
      </c>
      <c r="N188" s="40">
        <f>2</f>
        <v>2</v>
      </c>
      <c r="O188" s="28"/>
      <c r="P188" s="28"/>
      <c r="Q188" s="69">
        <f t="shared" si="6"/>
        <v>0</v>
      </c>
    </row>
    <row r="189" spans="1:17" s="3" customFormat="1" x14ac:dyDescent="0.25">
      <c r="A189" s="66"/>
      <c r="B189" s="7" t="s">
        <v>96</v>
      </c>
      <c r="C189" s="48" t="s">
        <v>17</v>
      </c>
      <c r="D189" s="49"/>
      <c r="E189" s="54" t="s">
        <v>20</v>
      </c>
      <c r="F189" s="22"/>
      <c r="G189" s="67" t="s">
        <v>104</v>
      </c>
      <c r="H189" s="48"/>
      <c r="I189" s="68"/>
      <c r="J189" s="52"/>
      <c r="K189" s="26"/>
      <c r="L189" s="26"/>
      <c r="M189" s="62">
        <f t="shared" si="5"/>
        <v>0</v>
      </c>
      <c r="N189" s="40"/>
      <c r="O189" s="62"/>
      <c r="P189" s="62"/>
      <c r="Q189" s="69">
        <f t="shared" si="6"/>
        <v>0</v>
      </c>
    </row>
    <row r="190" spans="1:17" s="3" customFormat="1" x14ac:dyDescent="0.25">
      <c r="A190" s="66"/>
      <c r="B190" s="7" t="s">
        <v>97</v>
      </c>
      <c r="C190" s="48" t="s">
        <v>17</v>
      </c>
      <c r="D190" s="49"/>
      <c r="E190" s="50" t="s">
        <v>20</v>
      </c>
      <c r="F190" s="22"/>
      <c r="G190" s="23" t="s">
        <v>102</v>
      </c>
      <c r="H190" s="24"/>
      <c r="I190" s="25"/>
      <c r="J190" s="37"/>
      <c r="K190" s="26"/>
      <c r="L190" s="26"/>
      <c r="M190" s="62">
        <f t="shared" si="5"/>
        <v>0</v>
      </c>
      <c r="N190" s="40"/>
      <c r="O190" s="26"/>
      <c r="P190" s="26"/>
      <c r="Q190" s="69">
        <f t="shared" si="6"/>
        <v>0</v>
      </c>
    </row>
    <row r="191" spans="1:17" s="3" customFormat="1" x14ac:dyDescent="0.25">
      <c r="A191" s="66"/>
      <c r="B191" s="7" t="s">
        <v>97</v>
      </c>
      <c r="C191" s="48" t="s">
        <v>17</v>
      </c>
      <c r="D191" s="49"/>
      <c r="E191" s="50" t="s">
        <v>20</v>
      </c>
      <c r="F191" s="22"/>
      <c r="G191" s="67" t="s">
        <v>104</v>
      </c>
      <c r="H191" s="48"/>
      <c r="I191" s="68"/>
      <c r="J191" s="52"/>
      <c r="K191" s="26"/>
      <c r="L191" s="26"/>
      <c r="M191" s="62">
        <f t="shared" si="5"/>
        <v>0</v>
      </c>
      <c r="N191" s="40"/>
      <c r="O191" s="62"/>
      <c r="P191" s="62"/>
      <c r="Q191" s="69">
        <f t="shared" si="6"/>
        <v>0</v>
      </c>
    </row>
    <row r="192" spans="1:17" s="4" customFormat="1" x14ac:dyDescent="0.25">
      <c r="A192" s="66"/>
      <c r="B192" s="7" t="s">
        <v>98</v>
      </c>
      <c r="C192" s="48" t="s">
        <v>17</v>
      </c>
      <c r="D192" s="49"/>
      <c r="E192" s="50" t="s">
        <v>20</v>
      </c>
      <c r="F192" s="22"/>
      <c r="G192" s="23" t="s">
        <v>102</v>
      </c>
      <c r="H192" s="24"/>
      <c r="I192" s="25"/>
      <c r="J192" s="37"/>
      <c r="K192" s="26"/>
      <c r="L192" s="26"/>
      <c r="M192" s="62">
        <f t="shared" si="5"/>
        <v>0</v>
      </c>
      <c r="N192" s="40"/>
      <c r="O192" s="28"/>
      <c r="P192" s="28"/>
      <c r="Q192" s="69">
        <f t="shared" si="6"/>
        <v>0</v>
      </c>
    </row>
    <row r="193" spans="1:20" s="4" customFormat="1" x14ac:dyDescent="0.25">
      <c r="A193" s="66"/>
      <c r="B193" s="7" t="s">
        <v>98</v>
      </c>
      <c r="C193" s="48" t="s">
        <v>17</v>
      </c>
      <c r="D193" s="49"/>
      <c r="E193" s="50" t="s">
        <v>20</v>
      </c>
      <c r="F193" s="22"/>
      <c r="G193" s="67" t="s">
        <v>104</v>
      </c>
      <c r="H193" s="48"/>
      <c r="I193" s="68"/>
      <c r="J193" s="52"/>
      <c r="K193" s="26"/>
      <c r="L193" s="26"/>
      <c r="M193" s="62">
        <f t="shared" si="5"/>
        <v>0</v>
      </c>
      <c r="N193" s="43"/>
      <c r="O193" s="62"/>
      <c r="P193" s="62"/>
      <c r="Q193" s="69">
        <f t="shared" si="6"/>
        <v>0</v>
      </c>
    </row>
    <row r="194" spans="1:20" s="3" customFormat="1" x14ac:dyDescent="0.25">
      <c r="A194" s="66"/>
      <c r="B194" s="8" t="s">
        <v>26</v>
      </c>
      <c r="C194" s="48" t="s">
        <v>17</v>
      </c>
      <c r="D194" s="49"/>
      <c r="E194" s="50" t="s">
        <v>32</v>
      </c>
      <c r="F194" s="22"/>
      <c r="G194" s="23" t="s">
        <v>107</v>
      </c>
      <c r="H194" s="24"/>
      <c r="I194" s="25"/>
      <c r="J194" s="37"/>
      <c r="K194" s="26"/>
      <c r="L194" s="26"/>
      <c r="M194" s="62">
        <f t="shared" si="5"/>
        <v>0</v>
      </c>
      <c r="N194" s="40"/>
      <c r="O194" s="28"/>
      <c r="P194" s="28"/>
      <c r="Q194" s="69">
        <f t="shared" si="6"/>
        <v>0</v>
      </c>
    </row>
    <row r="195" spans="1:20" s="3" customFormat="1" x14ac:dyDescent="0.25">
      <c r="A195" s="66"/>
      <c r="B195" s="8" t="s">
        <v>99</v>
      </c>
      <c r="C195" s="48" t="s">
        <v>17</v>
      </c>
      <c r="D195" s="49"/>
      <c r="E195" s="54" t="s">
        <v>35</v>
      </c>
      <c r="F195" s="22"/>
      <c r="G195" s="23" t="s">
        <v>102</v>
      </c>
      <c r="H195" s="24">
        <v>1</v>
      </c>
      <c r="I195" s="25"/>
      <c r="J195" s="37"/>
      <c r="K195" s="26"/>
      <c r="L195" s="26"/>
      <c r="M195" s="62">
        <f t="shared" si="5"/>
        <v>0</v>
      </c>
      <c r="N195" s="40">
        <f>5</f>
        <v>5</v>
      </c>
      <c r="O195" s="28"/>
      <c r="P195" s="28"/>
      <c r="Q195" s="69"/>
    </row>
    <row r="196" spans="1:20" s="3" customFormat="1" x14ac:dyDescent="0.25">
      <c r="A196" s="66"/>
      <c r="B196" s="11" t="s">
        <v>100</v>
      </c>
      <c r="C196" s="48" t="s">
        <v>17</v>
      </c>
      <c r="D196" s="57"/>
      <c r="E196" s="54" t="s">
        <v>20</v>
      </c>
      <c r="F196" s="22"/>
      <c r="G196" s="23" t="s">
        <v>102</v>
      </c>
      <c r="H196" s="24"/>
      <c r="I196" s="25"/>
      <c r="J196" s="37"/>
      <c r="K196" s="26"/>
      <c r="L196" s="26"/>
      <c r="M196" s="62">
        <f t="shared" si="5"/>
        <v>0</v>
      </c>
      <c r="N196" s="40">
        <f>1</f>
        <v>1</v>
      </c>
      <c r="O196" s="28"/>
      <c r="P196" s="28"/>
      <c r="Q196" s="69">
        <f t="shared" si="6"/>
        <v>0</v>
      </c>
      <c r="T196" s="45"/>
    </row>
    <row r="197" spans="1:20" x14ac:dyDescent="0.25">
      <c r="A197" s="88"/>
      <c r="B197" s="15"/>
      <c r="C197" s="89"/>
      <c r="D197" s="72"/>
      <c r="E197" s="72"/>
      <c r="F197" s="22"/>
      <c r="G197" s="72" t="s">
        <v>112</v>
      </c>
      <c r="H197" s="77">
        <f>SUM(H10:H196)</f>
        <v>26</v>
      </c>
      <c r="I197" s="91">
        <f>SUM(I10:I196)</f>
        <v>0</v>
      </c>
      <c r="J197" s="58">
        <f>SUM(J10:J196)</f>
        <v>0</v>
      </c>
      <c r="K197" s="59">
        <f>SUM(K10:K196)</f>
        <v>0</v>
      </c>
      <c r="L197" s="59">
        <f>SUM(L10:L196)</f>
        <v>0</v>
      </c>
      <c r="M197" s="60">
        <f>K197-L197</f>
        <v>0</v>
      </c>
      <c r="N197" s="58">
        <f>SUM(N10:N196)</f>
        <v>126</v>
      </c>
      <c r="O197" s="78">
        <f>SUM(O10:O196)</f>
        <v>0</v>
      </c>
      <c r="P197" s="78">
        <f>SUM(P10:P196)</f>
        <v>0</v>
      </c>
      <c r="Q197" s="27">
        <f t="shared" si="6"/>
        <v>0</v>
      </c>
    </row>
    <row r="198" spans="1:20" x14ac:dyDescent="0.25">
      <c r="K198" s="35" t="s">
        <v>136</v>
      </c>
    </row>
    <row r="199" spans="1:20" ht="45" x14ac:dyDescent="0.25">
      <c r="B199" s="86" t="s">
        <v>169</v>
      </c>
      <c r="F199" s="41" t="s">
        <v>142</v>
      </c>
      <c r="M199" s="46"/>
      <c r="N199" s="81"/>
      <c r="O199" s="82"/>
      <c r="P199" s="83"/>
      <c r="Q199" s="44"/>
    </row>
    <row r="200" spans="1:20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87"/>
      <c r="M200" s="61"/>
      <c r="N200" s="2"/>
      <c r="O200" s="2"/>
      <c r="P200" s="2"/>
      <c r="Q200" s="2"/>
    </row>
    <row r="201" spans="1:20" x14ac:dyDescent="0.25">
      <c r="M201" s="61"/>
      <c r="T201" s="45"/>
    </row>
    <row r="202" spans="1:20" x14ac:dyDescent="0.25">
      <c r="M202" s="61"/>
    </row>
    <row r="203" spans="1:20" x14ac:dyDescent="0.25">
      <c r="M203" s="61"/>
    </row>
    <row r="204" spans="1:20" x14ac:dyDescent="0.25">
      <c r="M204" s="61"/>
    </row>
  </sheetData>
  <mergeCells count="7">
    <mergeCell ref="O1:Q1"/>
    <mergeCell ref="A3:Q3"/>
    <mergeCell ref="A4:Q4"/>
    <mergeCell ref="A5:Q5"/>
    <mergeCell ref="B7:G7"/>
    <mergeCell ref="H7:M7"/>
    <mergeCell ref="N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workbookViewId="0">
      <selection sqref="A1:XFD1048576"/>
    </sheetView>
  </sheetViews>
  <sheetFormatPr defaultRowHeight="15" x14ac:dyDescent="0.25"/>
  <cols>
    <col min="1" max="1" width="1.85546875" style="2" customWidth="1"/>
    <col min="2" max="2" width="38.28515625" style="32" customWidth="1"/>
    <col min="3" max="3" width="6.5703125" style="5" customWidth="1"/>
    <col min="4" max="4" width="17.42578125" style="5" customWidth="1"/>
    <col min="5" max="5" width="19" style="5" customWidth="1"/>
    <col min="6" max="6" width="19" style="33" customWidth="1"/>
    <col min="7" max="7" width="20.140625" style="33" customWidth="1"/>
    <col min="8" max="9" width="15.7109375" style="34" customWidth="1"/>
    <col min="10" max="10" width="15.7109375" style="39" customWidth="1"/>
    <col min="11" max="13" width="15.7109375" style="35" customWidth="1"/>
    <col min="14" max="14" width="15.7109375" style="39" customWidth="1"/>
    <col min="15" max="17" width="15.7109375" style="36" customWidth="1"/>
    <col min="18" max="18" width="11" style="2" customWidth="1"/>
    <col min="19" max="19" width="9.140625" style="2"/>
    <col min="20" max="20" width="10.42578125" style="2" bestFit="1" customWidth="1"/>
    <col min="21" max="16384" width="9.140625" style="2"/>
  </cols>
  <sheetData>
    <row r="1" spans="1:17" s="42" customFormat="1" x14ac:dyDescent="0.25">
      <c r="A1" s="9"/>
      <c r="B1" s="9"/>
      <c r="C1" s="63"/>
      <c r="D1" s="63"/>
      <c r="E1" s="63"/>
      <c r="F1" s="12"/>
      <c r="G1" s="12"/>
      <c r="H1" s="13"/>
      <c r="I1" s="13"/>
      <c r="J1" s="92"/>
      <c r="K1" s="14"/>
      <c r="L1" s="14"/>
      <c r="M1" s="14"/>
      <c r="N1" s="92"/>
      <c r="O1" s="135" t="s">
        <v>15</v>
      </c>
      <c r="P1" s="135"/>
      <c r="Q1" s="135"/>
    </row>
    <row r="2" spans="1:17" s="42" customFormat="1" x14ac:dyDescent="0.25">
      <c r="A2" s="97"/>
      <c r="B2" s="97"/>
      <c r="C2" s="98"/>
      <c r="D2" s="98"/>
      <c r="E2" s="98"/>
      <c r="F2" s="15"/>
      <c r="G2" s="15"/>
      <c r="H2" s="99"/>
      <c r="I2" s="99"/>
      <c r="J2" s="93"/>
      <c r="K2" s="16"/>
      <c r="L2" s="16"/>
      <c r="M2" s="16"/>
      <c r="N2" s="93"/>
      <c r="O2" s="17"/>
      <c r="P2" s="17"/>
      <c r="Q2" s="17"/>
    </row>
    <row r="3" spans="1:17" s="42" customFormat="1" x14ac:dyDescent="0.25">
      <c r="A3" s="136" t="s">
        <v>171</v>
      </c>
      <c r="B3" s="137"/>
      <c r="C3" s="138"/>
      <c r="D3" s="138"/>
      <c r="E3" s="138"/>
      <c r="F3" s="137"/>
      <c r="G3" s="137"/>
      <c r="H3" s="139"/>
      <c r="I3" s="139"/>
      <c r="J3" s="137"/>
      <c r="K3" s="137"/>
      <c r="L3" s="137"/>
      <c r="M3" s="137"/>
      <c r="N3" s="137"/>
      <c r="O3" s="137"/>
      <c r="P3" s="137"/>
      <c r="Q3" s="137"/>
    </row>
    <row r="4" spans="1:17" s="42" customFormat="1" x14ac:dyDescent="0.25">
      <c r="A4" s="140">
        <v>43843</v>
      </c>
      <c r="B4" s="141"/>
      <c r="C4" s="142"/>
      <c r="D4" s="142"/>
      <c r="E4" s="142"/>
      <c r="F4" s="141"/>
      <c r="G4" s="141"/>
      <c r="H4" s="143"/>
      <c r="I4" s="143"/>
      <c r="J4" s="141"/>
      <c r="K4" s="141"/>
      <c r="L4" s="141"/>
      <c r="M4" s="141"/>
      <c r="N4" s="141"/>
      <c r="O4" s="141"/>
      <c r="P4" s="141"/>
      <c r="Q4" s="141"/>
    </row>
    <row r="5" spans="1:17" s="42" customFormat="1" x14ac:dyDescent="0.25">
      <c r="A5" s="137" t="s">
        <v>14</v>
      </c>
      <c r="B5" s="137"/>
      <c r="C5" s="137"/>
      <c r="D5" s="137"/>
      <c r="E5" s="137"/>
      <c r="F5" s="137"/>
      <c r="G5" s="137"/>
      <c r="H5" s="139"/>
      <c r="I5" s="139"/>
      <c r="J5" s="137"/>
      <c r="K5" s="137"/>
      <c r="L5" s="137"/>
      <c r="M5" s="137"/>
      <c r="N5" s="137"/>
      <c r="O5" s="137"/>
      <c r="P5" s="137"/>
      <c r="Q5" s="137"/>
    </row>
    <row r="6" spans="1:17" s="42" customFormat="1" x14ac:dyDescent="0.25">
      <c r="A6" s="97"/>
      <c r="B6" s="97"/>
      <c r="C6" s="98"/>
      <c r="D6" s="98"/>
      <c r="E6" s="98"/>
      <c r="F6" s="15"/>
      <c r="G6" s="15"/>
      <c r="H6" s="99"/>
      <c r="I6" s="99"/>
      <c r="J6" s="93"/>
      <c r="K6" s="16"/>
      <c r="L6" s="16"/>
      <c r="M6" s="16"/>
      <c r="N6" s="93"/>
      <c r="O6" s="17"/>
      <c r="P6" s="17"/>
      <c r="Q6" s="17"/>
    </row>
    <row r="7" spans="1:17" x14ac:dyDescent="0.25">
      <c r="A7" s="64" t="s">
        <v>0</v>
      </c>
      <c r="B7" s="137" t="s">
        <v>10</v>
      </c>
      <c r="C7" s="138"/>
      <c r="D7" s="138"/>
      <c r="E7" s="138"/>
      <c r="F7" s="137"/>
      <c r="G7" s="137"/>
      <c r="H7" s="139" t="s">
        <v>172</v>
      </c>
      <c r="I7" s="139"/>
      <c r="J7" s="137"/>
      <c r="K7" s="137"/>
      <c r="L7" s="137"/>
      <c r="M7" s="137"/>
      <c r="N7" s="137" t="s">
        <v>113</v>
      </c>
      <c r="O7" s="137"/>
      <c r="P7" s="137"/>
      <c r="Q7" s="137"/>
    </row>
    <row r="8" spans="1:17" ht="195" x14ac:dyDescent="0.25">
      <c r="A8" s="64"/>
      <c r="B8" s="97" t="s">
        <v>4</v>
      </c>
      <c r="C8" s="98" t="s">
        <v>1</v>
      </c>
      <c r="D8" s="98" t="s">
        <v>3</v>
      </c>
      <c r="E8" s="98" t="s">
        <v>2</v>
      </c>
      <c r="F8" s="97" t="s">
        <v>6</v>
      </c>
      <c r="G8" s="15" t="s">
        <v>5</v>
      </c>
      <c r="H8" s="97" t="s">
        <v>7</v>
      </c>
      <c r="I8" s="97" t="s">
        <v>8</v>
      </c>
      <c r="J8" s="93" t="s">
        <v>9</v>
      </c>
      <c r="K8" s="16" t="s">
        <v>11</v>
      </c>
      <c r="L8" s="16" t="s">
        <v>12</v>
      </c>
      <c r="M8" s="16" t="s">
        <v>13</v>
      </c>
      <c r="N8" s="93" t="s">
        <v>9</v>
      </c>
      <c r="O8" s="17" t="s">
        <v>11</v>
      </c>
      <c r="P8" s="17" t="s">
        <v>12</v>
      </c>
      <c r="Q8" s="17" t="s">
        <v>13</v>
      </c>
    </row>
    <row r="9" spans="1:17" x14ac:dyDescent="0.25">
      <c r="A9" s="65">
        <v>1</v>
      </c>
      <c r="B9" s="10">
        <f>A9+1</f>
        <v>2</v>
      </c>
      <c r="C9" s="65">
        <f t="shared" ref="C9:Q9" si="0">B9+1</f>
        <v>3</v>
      </c>
      <c r="D9" s="65">
        <f t="shared" si="0"/>
        <v>4</v>
      </c>
      <c r="E9" s="65">
        <f t="shared" si="0"/>
        <v>5</v>
      </c>
      <c r="F9" s="18">
        <f t="shared" si="0"/>
        <v>6</v>
      </c>
      <c r="G9" s="18">
        <f t="shared" si="0"/>
        <v>7</v>
      </c>
      <c r="H9" s="19">
        <f t="shared" si="0"/>
        <v>8</v>
      </c>
      <c r="I9" s="19">
        <f t="shared" si="0"/>
        <v>9</v>
      </c>
      <c r="J9" s="94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94">
        <f t="shared" si="0"/>
        <v>14</v>
      </c>
      <c r="O9" s="21">
        <f t="shared" si="0"/>
        <v>15</v>
      </c>
      <c r="P9" s="21">
        <f t="shared" si="0"/>
        <v>16</v>
      </c>
      <c r="Q9" s="21">
        <f t="shared" si="0"/>
        <v>17</v>
      </c>
    </row>
    <row r="10" spans="1:17" s="3" customFormat="1" ht="30" x14ac:dyDescent="0.25">
      <c r="A10" s="66"/>
      <c r="B10" s="11" t="s">
        <v>16</v>
      </c>
      <c r="C10" s="48" t="s">
        <v>135</v>
      </c>
      <c r="D10" s="49" t="s">
        <v>141</v>
      </c>
      <c r="E10" s="50" t="s">
        <v>18</v>
      </c>
      <c r="F10" s="22"/>
      <c r="G10" s="23" t="s">
        <v>102</v>
      </c>
      <c r="H10" s="24"/>
      <c r="I10" s="25"/>
      <c r="J10" s="38"/>
      <c r="K10" s="26"/>
      <c r="L10" s="26"/>
      <c r="M10" s="62">
        <f>K10-L10</f>
        <v>0</v>
      </c>
      <c r="N10" s="40"/>
      <c r="O10" s="26"/>
      <c r="P10" s="26"/>
      <c r="Q10" s="27">
        <f>O10-P10</f>
        <v>0</v>
      </c>
    </row>
    <row r="11" spans="1:17" s="3" customFormat="1" ht="30" x14ac:dyDescent="0.25">
      <c r="A11" s="66"/>
      <c r="B11" s="11" t="s">
        <v>16</v>
      </c>
      <c r="C11" s="48" t="s">
        <v>135</v>
      </c>
      <c r="D11" s="49" t="s">
        <v>141</v>
      </c>
      <c r="E11" s="50" t="s">
        <v>18</v>
      </c>
      <c r="F11" s="22"/>
      <c r="G11" s="67" t="s">
        <v>106</v>
      </c>
      <c r="H11" s="48"/>
      <c r="I11" s="68"/>
      <c r="J11" s="37"/>
      <c r="K11" s="62"/>
      <c r="L11" s="62"/>
      <c r="M11" s="62">
        <f>K11-L11</f>
        <v>0</v>
      </c>
      <c r="N11" s="40"/>
      <c r="O11" s="62"/>
      <c r="P11" s="62"/>
      <c r="Q11" s="69">
        <f t="shared" ref="Q11:Q81" si="1">O11-P11</f>
        <v>0</v>
      </c>
    </row>
    <row r="12" spans="1:17" s="3" customFormat="1" x14ac:dyDescent="0.25">
      <c r="A12" s="66"/>
      <c r="B12" s="11" t="s">
        <v>157</v>
      </c>
      <c r="C12" s="48" t="s">
        <v>135</v>
      </c>
      <c r="D12" s="49"/>
      <c r="E12" s="50"/>
      <c r="F12" s="51"/>
      <c r="G12" s="67" t="s">
        <v>102</v>
      </c>
      <c r="H12" s="48"/>
      <c r="I12" s="68"/>
      <c r="J12" s="37"/>
      <c r="K12" s="62"/>
      <c r="L12" s="62"/>
      <c r="M12" s="62">
        <f t="shared" ref="M12:M75" si="2">K12-L12</f>
        <v>0</v>
      </c>
      <c r="N12" s="40">
        <f>1</f>
        <v>1</v>
      </c>
      <c r="O12" s="62"/>
      <c r="P12" s="62"/>
      <c r="Q12" s="27">
        <f t="shared" si="1"/>
        <v>0</v>
      </c>
    </row>
    <row r="13" spans="1:17" s="4" customFormat="1" x14ac:dyDescent="0.25">
      <c r="A13" s="66"/>
      <c r="B13" s="11" t="s">
        <v>19</v>
      </c>
      <c r="C13" s="48" t="s">
        <v>17</v>
      </c>
      <c r="D13" s="49"/>
      <c r="E13" s="50" t="s">
        <v>20</v>
      </c>
      <c r="F13" s="22"/>
      <c r="G13" s="23" t="s">
        <v>102</v>
      </c>
      <c r="H13" s="24">
        <v>2</v>
      </c>
      <c r="I13" s="25"/>
      <c r="J13" s="37"/>
      <c r="K13" s="26"/>
      <c r="L13" s="26"/>
      <c r="M13" s="62">
        <f t="shared" si="2"/>
        <v>0</v>
      </c>
      <c r="N13" s="40"/>
      <c r="O13" s="28"/>
      <c r="P13" s="28"/>
      <c r="Q13" s="27">
        <f t="shared" si="1"/>
        <v>0</v>
      </c>
    </row>
    <row r="14" spans="1:17" s="4" customFormat="1" x14ac:dyDescent="0.25">
      <c r="A14" s="66"/>
      <c r="B14" s="11" t="s">
        <v>19</v>
      </c>
      <c r="C14" s="48" t="s">
        <v>17</v>
      </c>
      <c r="D14" s="49"/>
      <c r="E14" s="50" t="s">
        <v>20</v>
      </c>
      <c r="F14" s="22"/>
      <c r="G14" s="67" t="s">
        <v>104</v>
      </c>
      <c r="H14" s="48">
        <v>1</v>
      </c>
      <c r="I14" s="68"/>
      <c r="J14" s="52"/>
      <c r="K14" s="26"/>
      <c r="L14" s="26"/>
      <c r="M14" s="62">
        <f t="shared" si="2"/>
        <v>0</v>
      </c>
      <c r="N14" s="40"/>
      <c r="O14" s="62"/>
      <c r="P14" s="62"/>
      <c r="Q14" s="69">
        <f t="shared" si="1"/>
        <v>0</v>
      </c>
    </row>
    <row r="15" spans="1:17" s="4" customFormat="1" x14ac:dyDescent="0.25">
      <c r="A15" s="66"/>
      <c r="B15" s="11" t="s">
        <v>128</v>
      </c>
      <c r="C15" s="48" t="s">
        <v>17</v>
      </c>
      <c r="D15" s="49"/>
      <c r="E15" s="50" t="s">
        <v>20</v>
      </c>
      <c r="F15" s="22"/>
      <c r="G15" s="23" t="s">
        <v>102</v>
      </c>
      <c r="H15" s="24">
        <v>1</v>
      </c>
      <c r="I15" s="29"/>
      <c r="J15" s="37"/>
      <c r="K15" s="26"/>
      <c r="L15" s="26"/>
      <c r="M15" s="62">
        <f t="shared" si="2"/>
        <v>0</v>
      </c>
      <c r="N15" s="43"/>
      <c r="O15" s="28"/>
      <c r="P15" s="28"/>
      <c r="Q15" s="27">
        <f t="shared" si="1"/>
        <v>0</v>
      </c>
    </row>
    <row r="16" spans="1:17" s="4" customFormat="1" x14ac:dyDescent="0.25">
      <c r="A16" s="66"/>
      <c r="B16" s="70" t="s">
        <v>128</v>
      </c>
      <c r="C16" s="48" t="s">
        <v>17</v>
      </c>
      <c r="D16" s="49"/>
      <c r="E16" s="50" t="s">
        <v>20</v>
      </c>
      <c r="F16" s="22"/>
      <c r="G16" s="67" t="s">
        <v>104</v>
      </c>
      <c r="H16" s="48"/>
      <c r="I16" s="68"/>
      <c r="J16" s="52"/>
      <c r="K16" s="26"/>
      <c r="L16" s="26"/>
      <c r="M16" s="62">
        <f t="shared" si="2"/>
        <v>0</v>
      </c>
      <c r="N16" s="40"/>
      <c r="O16" s="62"/>
      <c r="P16" s="62"/>
      <c r="Q16" s="69">
        <f t="shared" si="1"/>
        <v>0</v>
      </c>
    </row>
    <row r="17" spans="1:17" s="3" customFormat="1" x14ac:dyDescent="0.25">
      <c r="A17" s="66"/>
      <c r="B17" s="8" t="s">
        <v>22</v>
      </c>
      <c r="C17" s="48" t="s">
        <v>17</v>
      </c>
      <c r="D17" s="49"/>
      <c r="E17" s="50" t="s">
        <v>23</v>
      </c>
      <c r="F17" s="22"/>
      <c r="G17" s="23" t="s">
        <v>102</v>
      </c>
      <c r="H17" s="24">
        <v>1</v>
      </c>
      <c r="I17" s="25"/>
      <c r="J17" s="37"/>
      <c r="K17" s="26"/>
      <c r="L17" s="26"/>
      <c r="M17" s="62">
        <f t="shared" si="2"/>
        <v>0</v>
      </c>
      <c r="N17" s="40">
        <f>19+5</f>
        <v>24</v>
      </c>
      <c r="O17" s="28"/>
      <c r="P17" s="28"/>
      <c r="Q17" s="27">
        <f t="shared" si="1"/>
        <v>0</v>
      </c>
    </row>
    <row r="18" spans="1:17" s="3" customFormat="1" x14ac:dyDescent="0.25">
      <c r="A18" s="66"/>
      <c r="B18" s="8" t="s">
        <v>129</v>
      </c>
      <c r="C18" s="48" t="s">
        <v>17</v>
      </c>
      <c r="D18" s="49"/>
      <c r="E18" s="50" t="s">
        <v>20</v>
      </c>
      <c r="F18" s="22"/>
      <c r="G18" s="67" t="s">
        <v>104</v>
      </c>
      <c r="H18" s="48"/>
      <c r="I18" s="71"/>
      <c r="J18" s="52"/>
      <c r="K18" s="53"/>
      <c r="L18" s="53"/>
      <c r="M18" s="62">
        <f t="shared" si="2"/>
        <v>0</v>
      </c>
      <c r="N18" s="43"/>
      <c r="O18" s="62"/>
      <c r="P18" s="62"/>
      <c r="Q18" s="69">
        <f t="shared" si="1"/>
        <v>0</v>
      </c>
    </row>
    <row r="19" spans="1:17" s="3" customFormat="1" x14ac:dyDescent="0.25">
      <c r="A19" s="66"/>
      <c r="B19" s="8" t="s">
        <v>129</v>
      </c>
      <c r="C19" s="48" t="s">
        <v>17</v>
      </c>
      <c r="D19" s="49"/>
      <c r="E19" s="50" t="s">
        <v>20</v>
      </c>
      <c r="F19" s="22"/>
      <c r="G19" s="23" t="s">
        <v>102</v>
      </c>
      <c r="H19" s="24">
        <v>3</v>
      </c>
      <c r="I19" s="25"/>
      <c r="J19" s="37"/>
      <c r="K19" s="26"/>
      <c r="L19" s="26"/>
      <c r="M19" s="62">
        <f t="shared" si="2"/>
        <v>0</v>
      </c>
      <c r="N19" s="40">
        <f>5</f>
        <v>5</v>
      </c>
      <c r="O19" s="28"/>
      <c r="P19" s="28"/>
      <c r="Q19" s="27">
        <f t="shared" si="1"/>
        <v>0</v>
      </c>
    </row>
    <row r="20" spans="1:17" s="3" customFormat="1" x14ac:dyDescent="0.25">
      <c r="A20" s="66"/>
      <c r="B20" s="11" t="s">
        <v>24</v>
      </c>
      <c r="C20" s="48" t="s">
        <v>17</v>
      </c>
      <c r="D20" s="49"/>
      <c r="E20" s="50" t="s">
        <v>20</v>
      </c>
      <c r="F20" s="22"/>
      <c r="G20" s="23" t="s">
        <v>102</v>
      </c>
      <c r="H20" s="24"/>
      <c r="I20" s="25"/>
      <c r="J20" s="37"/>
      <c r="K20" s="26"/>
      <c r="L20" s="26"/>
      <c r="M20" s="62">
        <f t="shared" si="2"/>
        <v>0</v>
      </c>
      <c r="N20" s="40">
        <f>3</f>
        <v>3</v>
      </c>
      <c r="O20" s="28"/>
      <c r="P20" s="28"/>
      <c r="Q20" s="69">
        <f t="shared" si="1"/>
        <v>0</v>
      </c>
    </row>
    <row r="21" spans="1:17" s="3" customFormat="1" x14ac:dyDescent="0.25">
      <c r="A21" s="66"/>
      <c r="B21" s="11" t="s">
        <v>24</v>
      </c>
      <c r="C21" s="48" t="s">
        <v>17</v>
      </c>
      <c r="D21" s="49"/>
      <c r="E21" s="50" t="s">
        <v>20</v>
      </c>
      <c r="F21" s="22"/>
      <c r="G21" s="67" t="s">
        <v>104</v>
      </c>
      <c r="H21" s="48"/>
      <c r="I21" s="68"/>
      <c r="J21" s="52"/>
      <c r="K21" s="26"/>
      <c r="L21" s="26"/>
      <c r="M21" s="62">
        <f t="shared" si="2"/>
        <v>0</v>
      </c>
      <c r="N21" s="40"/>
      <c r="O21" s="62"/>
      <c r="P21" s="62"/>
      <c r="Q21" s="69">
        <f t="shared" si="1"/>
        <v>0</v>
      </c>
    </row>
    <row r="22" spans="1:17" s="3" customFormat="1" x14ac:dyDescent="0.25">
      <c r="A22" s="66"/>
      <c r="B22" s="11" t="s">
        <v>25</v>
      </c>
      <c r="C22" s="48" t="s">
        <v>17</v>
      </c>
      <c r="D22" s="49"/>
      <c r="E22" s="50" t="s">
        <v>20</v>
      </c>
      <c r="F22" s="22"/>
      <c r="G22" s="23" t="s">
        <v>102</v>
      </c>
      <c r="H22" s="24">
        <v>1</v>
      </c>
      <c r="I22" s="25"/>
      <c r="J22" s="37"/>
      <c r="K22" s="47"/>
      <c r="L22" s="47"/>
      <c r="M22" s="62">
        <f t="shared" si="2"/>
        <v>0</v>
      </c>
      <c r="N22" s="40"/>
      <c r="O22" s="28"/>
      <c r="P22" s="28"/>
      <c r="Q22" s="69">
        <f t="shared" si="1"/>
        <v>0</v>
      </c>
    </row>
    <row r="23" spans="1:17" s="3" customFormat="1" x14ac:dyDescent="0.25">
      <c r="A23" s="66"/>
      <c r="B23" s="11" t="s">
        <v>25</v>
      </c>
      <c r="C23" s="48" t="s">
        <v>17</v>
      </c>
      <c r="D23" s="49"/>
      <c r="E23" s="50" t="s">
        <v>20</v>
      </c>
      <c r="F23" s="22"/>
      <c r="G23" s="67" t="s">
        <v>104</v>
      </c>
      <c r="H23" s="48"/>
      <c r="I23" s="68"/>
      <c r="J23" s="52"/>
      <c r="K23" s="26"/>
      <c r="L23" s="26"/>
      <c r="M23" s="62">
        <f t="shared" si="2"/>
        <v>0</v>
      </c>
      <c r="N23" s="40"/>
      <c r="O23" s="62"/>
      <c r="P23" s="62"/>
      <c r="Q23" s="69">
        <f t="shared" si="1"/>
        <v>0</v>
      </c>
    </row>
    <row r="24" spans="1:17" s="3" customFormat="1" x14ac:dyDescent="0.25">
      <c r="A24" s="66"/>
      <c r="B24" s="11" t="s">
        <v>167</v>
      </c>
      <c r="C24" s="48" t="s">
        <v>17</v>
      </c>
      <c r="D24" s="49"/>
      <c r="E24" s="50" t="s">
        <v>20</v>
      </c>
      <c r="F24" s="22"/>
      <c r="G24" s="84" t="s">
        <v>102</v>
      </c>
      <c r="H24" s="48"/>
      <c r="I24" s="68"/>
      <c r="J24" s="52"/>
      <c r="K24" s="26"/>
      <c r="L24" s="26"/>
      <c r="M24" s="62">
        <f t="shared" si="2"/>
        <v>0</v>
      </c>
      <c r="N24" s="40"/>
      <c r="O24" s="62"/>
      <c r="P24" s="62"/>
      <c r="Q24" s="69"/>
    </row>
    <row r="25" spans="1:17" s="3" customFormat="1" x14ac:dyDescent="0.25">
      <c r="A25" s="66"/>
      <c r="B25" s="11" t="s">
        <v>26</v>
      </c>
      <c r="C25" s="48" t="s">
        <v>17</v>
      </c>
      <c r="D25" s="49"/>
      <c r="E25" s="50" t="s">
        <v>27</v>
      </c>
      <c r="F25" s="22"/>
      <c r="G25" s="23" t="s">
        <v>102</v>
      </c>
      <c r="H25" s="24"/>
      <c r="I25" s="25"/>
      <c r="J25" s="37"/>
      <c r="K25" s="26"/>
      <c r="L25" s="26"/>
      <c r="M25" s="62">
        <f t="shared" si="2"/>
        <v>0</v>
      </c>
      <c r="N25" s="40">
        <f>2</f>
        <v>2</v>
      </c>
      <c r="O25" s="28"/>
      <c r="P25" s="28"/>
      <c r="Q25" s="69">
        <f t="shared" si="1"/>
        <v>0</v>
      </c>
    </row>
    <row r="26" spans="1:17" s="4" customFormat="1" x14ac:dyDescent="0.25">
      <c r="A26" s="66"/>
      <c r="B26" s="11" t="s">
        <v>28</v>
      </c>
      <c r="C26" s="48" t="s">
        <v>17</v>
      </c>
      <c r="D26" s="49"/>
      <c r="E26" s="54" t="s">
        <v>29</v>
      </c>
      <c r="F26" s="22"/>
      <c r="G26" s="23" t="s">
        <v>102</v>
      </c>
      <c r="H26" s="24"/>
      <c r="I26" s="25"/>
      <c r="J26" s="37"/>
      <c r="K26" s="26"/>
      <c r="L26" s="26"/>
      <c r="M26" s="62">
        <f t="shared" si="2"/>
        <v>0</v>
      </c>
      <c r="N26" s="40">
        <f>2</f>
        <v>2</v>
      </c>
      <c r="O26" s="28"/>
      <c r="P26" s="28"/>
      <c r="Q26" s="69">
        <f t="shared" si="1"/>
        <v>0</v>
      </c>
    </row>
    <row r="27" spans="1:17" s="4" customFormat="1" x14ac:dyDescent="0.25">
      <c r="A27" s="66"/>
      <c r="B27" s="11" t="s">
        <v>28</v>
      </c>
      <c r="C27" s="48" t="s">
        <v>17</v>
      </c>
      <c r="D27" s="49"/>
      <c r="E27" s="54" t="s">
        <v>29</v>
      </c>
      <c r="F27" s="22"/>
      <c r="G27" s="72" t="s">
        <v>107</v>
      </c>
      <c r="H27" s="48"/>
      <c r="I27" s="68"/>
      <c r="J27" s="37"/>
      <c r="K27" s="26"/>
      <c r="L27" s="26"/>
      <c r="M27" s="62">
        <f t="shared" si="2"/>
        <v>0</v>
      </c>
      <c r="N27" s="40"/>
      <c r="O27" s="62"/>
      <c r="P27" s="62"/>
      <c r="Q27" s="27">
        <f t="shared" si="1"/>
        <v>0</v>
      </c>
    </row>
    <row r="28" spans="1:17" s="4" customFormat="1" x14ac:dyDescent="0.25">
      <c r="A28" s="66"/>
      <c r="B28" s="70" t="s">
        <v>162</v>
      </c>
      <c r="C28" s="48" t="s">
        <v>17</v>
      </c>
      <c r="D28" s="49"/>
      <c r="E28" s="54"/>
      <c r="F28" s="22"/>
      <c r="G28" s="72" t="s">
        <v>102</v>
      </c>
      <c r="H28" s="48">
        <v>3</v>
      </c>
      <c r="I28" s="68"/>
      <c r="J28" s="37"/>
      <c r="K28" s="26"/>
      <c r="L28" s="26"/>
      <c r="M28" s="62">
        <f t="shared" si="2"/>
        <v>0</v>
      </c>
      <c r="N28" s="40"/>
      <c r="O28" s="62"/>
      <c r="P28" s="62"/>
      <c r="Q28" s="27">
        <f t="shared" si="1"/>
        <v>0</v>
      </c>
    </row>
    <row r="29" spans="1:17" s="3" customFormat="1" x14ac:dyDescent="0.25">
      <c r="A29" s="66"/>
      <c r="B29" s="7" t="s">
        <v>30</v>
      </c>
      <c r="C29" s="48" t="s">
        <v>17</v>
      </c>
      <c r="D29" s="49"/>
      <c r="E29" s="54" t="s">
        <v>21</v>
      </c>
      <c r="F29" s="22"/>
      <c r="G29" s="23" t="s">
        <v>102</v>
      </c>
      <c r="H29" s="24">
        <v>2</v>
      </c>
      <c r="I29" s="25"/>
      <c r="J29" s="37"/>
      <c r="K29" s="26"/>
      <c r="L29" s="26"/>
      <c r="M29" s="62">
        <f t="shared" si="2"/>
        <v>0</v>
      </c>
      <c r="N29" s="40">
        <f>3</f>
        <v>3</v>
      </c>
      <c r="O29" s="28"/>
      <c r="P29" s="28"/>
      <c r="Q29" s="27">
        <f>O29-P29</f>
        <v>0</v>
      </c>
    </row>
    <row r="30" spans="1:17" s="3" customFormat="1" x14ac:dyDescent="0.25">
      <c r="A30" s="66"/>
      <c r="B30" s="7" t="s">
        <v>158</v>
      </c>
      <c r="C30" s="48" t="s">
        <v>17</v>
      </c>
      <c r="D30" s="49"/>
      <c r="E30" s="50" t="s">
        <v>20</v>
      </c>
      <c r="F30" s="22"/>
      <c r="G30" s="23" t="s">
        <v>102</v>
      </c>
      <c r="H30" s="24"/>
      <c r="I30" s="25"/>
      <c r="J30" s="37"/>
      <c r="K30" s="26"/>
      <c r="L30" s="26"/>
      <c r="M30" s="62">
        <f t="shared" si="2"/>
        <v>0</v>
      </c>
      <c r="N30" s="40"/>
      <c r="O30" s="28"/>
      <c r="P30" s="28"/>
      <c r="Q30" s="27">
        <f t="shared" si="1"/>
        <v>0</v>
      </c>
    </row>
    <row r="31" spans="1:17" s="3" customFormat="1" x14ac:dyDescent="0.25">
      <c r="A31" s="66"/>
      <c r="B31" s="7" t="s">
        <v>158</v>
      </c>
      <c r="C31" s="48" t="s">
        <v>17</v>
      </c>
      <c r="D31" s="49"/>
      <c r="E31" s="50" t="s">
        <v>20</v>
      </c>
      <c r="F31" s="22"/>
      <c r="G31" s="23" t="s">
        <v>104</v>
      </c>
      <c r="H31" s="24">
        <v>1</v>
      </c>
      <c r="I31" s="25"/>
      <c r="J31" s="37"/>
      <c r="K31" s="26"/>
      <c r="L31" s="26"/>
      <c r="M31" s="62">
        <f t="shared" si="2"/>
        <v>0</v>
      </c>
      <c r="N31" s="40"/>
      <c r="O31" s="28"/>
      <c r="P31" s="28"/>
      <c r="Q31" s="69">
        <f t="shared" si="1"/>
        <v>0</v>
      </c>
    </row>
    <row r="32" spans="1:17" s="3" customFormat="1" x14ac:dyDescent="0.25">
      <c r="A32" s="66"/>
      <c r="B32" s="7" t="s">
        <v>158</v>
      </c>
      <c r="C32" s="48" t="s">
        <v>17</v>
      </c>
      <c r="D32" s="49"/>
      <c r="E32" s="50"/>
      <c r="F32" s="22"/>
      <c r="G32" s="72" t="s">
        <v>107</v>
      </c>
      <c r="H32" s="24"/>
      <c r="I32" s="25"/>
      <c r="J32" s="37"/>
      <c r="K32" s="26"/>
      <c r="L32" s="26"/>
      <c r="M32" s="62">
        <f t="shared" si="2"/>
        <v>0</v>
      </c>
      <c r="N32" s="40"/>
      <c r="O32" s="28"/>
      <c r="P32" s="28"/>
      <c r="Q32" s="69">
        <f t="shared" si="1"/>
        <v>0</v>
      </c>
    </row>
    <row r="33" spans="1:17" s="3" customFormat="1" x14ac:dyDescent="0.25">
      <c r="A33" s="66"/>
      <c r="B33" s="8" t="s">
        <v>31</v>
      </c>
      <c r="C33" s="48" t="s">
        <v>17</v>
      </c>
      <c r="D33" s="49"/>
      <c r="E33" s="50" t="s">
        <v>32</v>
      </c>
      <c r="F33" s="22"/>
      <c r="G33" s="23" t="s">
        <v>102</v>
      </c>
      <c r="H33" s="24"/>
      <c r="I33" s="25"/>
      <c r="J33" s="37"/>
      <c r="K33" s="26"/>
      <c r="L33" s="26"/>
      <c r="M33" s="62">
        <f t="shared" si="2"/>
        <v>0</v>
      </c>
      <c r="N33" s="40">
        <f>2</f>
        <v>2</v>
      </c>
      <c r="O33" s="28"/>
      <c r="P33" s="28"/>
      <c r="Q33" s="69">
        <f t="shared" si="1"/>
        <v>0</v>
      </c>
    </row>
    <row r="34" spans="1:17" s="3" customFormat="1" x14ac:dyDescent="0.25">
      <c r="A34" s="66"/>
      <c r="B34" s="8" t="s">
        <v>31</v>
      </c>
      <c r="C34" s="48" t="s">
        <v>17</v>
      </c>
      <c r="D34" s="49"/>
      <c r="E34" s="50" t="s">
        <v>32</v>
      </c>
      <c r="F34" s="22"/>
      <c r="G34" s="72" t="s">
        <v>107</v>
      </c>
      <c r="H34" s="48"/>
      <c r="I34" s="68"/>
      <c r="J34" s="37"/>
      <c r="K34" s="26"/>
      <c r="L34" s="26"/>
      <c r="M34" s="62">
        <f t="shared" si="2"/>
        <v>0</v>
      </c>
      <c r="N34" s="40"/>
      <c r="O34" s="26"/>
      <c r="P34" s="26"/>
      <c r="Q34" s="69">
        <f t="shared" si="1"/>
        <v>0</v>
      </c>
    </row>
    <row r="35" spans="1:17" s="4" customFormat="1" x14ac:dyDescent="0.25">
      <c r="A35" s="66"/>
      <c r="B35" s="11" t="s">
        <v>33</v>
      </c>
      <c r="C35" s="48" t="s">
        <v>17</v>
      </c>
      <c r="D35" s="49"/>
      <c r="E35" s="50" t="s">
        <v>20</v>
      </c>
      <c r="F35" s="22"/>
      <c r="G35" s="23" t="s">
        <v>102</v>
      </c>
      <c r="H35" s="24"/>
      <c r="I35" s="25"/>
      <c r="J35" s="37"/>
      <c r="K35" s="26"/>
      <c r="L35" s="26"/>
      <c r="M35" s="62">
        <f t="shared" si="2"/>
        <v>0</v>
      </c>
      <c r="N35" s="40">
        <f>1</f>
        <v>1</v>
      </c>
      <c r="O35" s="28"/>
      <c r="P35" s="28"/>
      <c r="Q35" s="27">
        <f t="shared" si="1"/>
        <v>0</v>
      </c>
    </row>
    <row r="36" spans="1:17" s="4" customFormat="1" x14ac:dyDescent="0.25">
      <c r="A36" s="66"/>
      <c r="B36" s="11" t="s">
        <v>33</v>
      </c>
      <c r="C36" s="48" t="s">
        <v>17</v>
      </c>
      <c r="D36" s="49"/>
      <c r="E36" s="50" t="s">
        <v>20</v>
      </c>
      <c r="F36" s="22"/>
      <c r="G36" s="67" t="s">
        <v>104</v>
      </c>
      <c r="H36" s="48"/>
      <c r="I36" s="68"/>
      <c r="J36" s="52"/>
      <c r="K36" s="26"/>
      <c r="L36" s="26"/>
      <c r="M36" s="62">
        <f t="shared" si="2"/>
        <v>0</v>
      </c>
      <c r="N36" s="40"/>
      <c r="O36" s="62"/>
      <c r="P36" s="62"/>
      <c r="Q36" s="69">
        <f t="shared" si="1"/>
        <v>0</v>
      </c>
    </row>
    <row r="37" spans="1:17" s="4" customFormat="1" x14ac:dyDescent="0.25">
      <c r="A37" s="66"/>
      <c r="B37" s="11" t="s">
        <v>122</v>
      </c>
      <c r="C37" s="48" t="s">
        <v>17</v>
      </c>
      <c r="D37" s="49"/>
      <c r="E37" s="50" t="s">
        <v>29</v>
      </c>
      <c r="F37" s="22"/>
      <c r="G37" s="23" t="s">
        <v>102</v>
      </c>
      <c r="H37" s="24">
        <v>1</v>
      </c>
      <c r="I37" s="71"/>
      <c r="J37" s="37"/>
      <c r="K37" s="26"/>
      <c r="L37" s="26"/>
      <c r="M37" s="62">
        <f t="shared" si="2"/>
        <v>0</v>
      </c>
      <c r="N37" s="43"/>
      <c r="O37" s="28"/>
      <c r="P37" s="28"/>
      <c r="Q37" s="27">
        <f t="shared" si="1"/>
        <v>0</v>
      </c>
    </row>
    <row r="38" spans="1:17" s="4" customFormat="1" x14ac:dyDescent="0.25">
      <c r="A38" s="66"/>
      <c r="B38" s="70" t="s">
        <v>122</v>
      </c>
      <c r="C38" s="48" t="s">
        <v>17</v>
      </c>
      <c r="D38" s="49"/>
      <c r="E38" s="50" t="s">
        <v>29</v>
      </c>
      <c r="F38" s="22"/>
      <c r="G38" s="67" t="s">
        <v>107</v>
      </c>
      <c r="H38" s="48"/>
      <c r="I38" s="68"/>
      <c r="J38" s="37"/>
      <c r="K38" s="26"/>
      <c r="L38" s="26"/>
      <c r="M38" s="62">
        <f t="shared" si="2"/>
        <v>0</v>
      </c>
      <c r="N38" s="40"/>
      <c r="O38" s="62"/>
      <c r="P38" s="62"/>
      <c r="Q38" s="69">
        <f t="shared" si="1"/>
        <v>0</v>
      </c>
    </row>
    <row r="39" spans="1:17" s="3" customFormat="1" x14ac:dyDescent="0.25">
      <c r="A39" s="66"/>
      <c r="B39" s="11" t="s">
        <v>34</v>
      </c>
      <c r="C39" s="48" t="s">
        <v>17</v>
      </c>
      <c r="D39" s="49"/>
      <c r="E39" s="54" t="s">
        <v>35</v>
      </c>
      <c r="F39" s="22"/>
      <c r="G39" s="23" t="s">
        <v>102</v>
      </c>
      <c r="H39" s="24"/>
      <c r="I39" s="25"/>
      <c r="J39" s="37"/>
      <c r="K39" s="26"/>
      <c r="L39" s="26"/>
      <c r="M39" s="62">
        <f t="shared" si="2"/>
        <v>0</v>
      </c>
      <c r="N39" s="40"/>
      <c r="O39" s="28"/>
      <c r="P39" s="28"/>
      <c r="Q39" s="27">
        <f t="shared" si="1"/>
        <v>0</v>
      </c>
    </row>
    <row r="40" spans="1:17" s="3" customFormat="1" x14ac:dyDescent="0.25">
      <c r="A40" s="66"/>
      <c r="B40" s="11" t="s">
        <v>34</v>
      </c>
      <c r="C40" s="48" t="s">
        <v>17</v>
      </c>
      <c r="D40" s="49"/>
      <c r="E40" s="54" t="s">
        <v>35</v>
      </c>
      <c r="F40" s="22"/>
      <c r="G40" s="72" t="s">
        <v>107</v>
      </c>
      <c r="H40" s="48"/>
      <c r="I40" s="68"/>
      <c r="J40" s="37"/>
      <c r="K40" s="26"/>
      <c r="L40" s="26"/>
      <c r="M40" s="62">
        <f t="shared" si="2"/>
        <v>0</v>
      </c>
      <c r="N40" s="40"/>
      <c r="O40" s="62"/>
      <c r="P40" s="62"/>
      <c r="Q40" s="69">
        <f t="shared" si="1"/>
        <v>0</v>
      </c>
    </row>
    <row r="41" spans="1:17" s="3" customFormat="1" x14ac:dyDescent="0.25">
      <c r="A41" s="66"/>
      <c r="B41" s="7" t="s">
        <v>36</v>
      </c>
      <c r="C41" s="48" t="s">
        <v>17</v>
      </c>
      <c r="D41" s="49"/>
      <c r="E41" s="54" t="s">
        <v>32</v>
      </c>
      <c r="F41" s="22"/>
      <c r="G41" s="23" t="s">
        <v>102</v>
      </c>
      <c r="H41" s="24"/>
      <c r="I41" s="25"/>
      <c r="J41" s="37"/>
      <c r="K41" s="26"/>
      <c r="L41" s="26"/>
      <c r="M41" s="62">
        <f t="shared" si="2"/>
        <v>0</v>
      </c>
      <c r="N41" s="40">
        <f>3</f>
        <v>3</v>
      </c>
      <c r="O41" s="28"/>
      <c r="P41" s="28"/>
      <c r="Q41" s="27">
        <f t="shared" si="1"/>
        <v>0</v>
      </c>
    </row>
    <row r="42" spans="1:17" s="3" customFormat="1" x14ac:dyDescent="0.25">
      <c r="A42" s="66"/>
      <c r="B42" s="7" t="s">
        <v>37</v>
      </c>
      <c r="C42" s="48" t="s">
        <v>17</v>
      </c>
      <c r="D42" s="49"/>
      <c r="E42" s="50" t="s">
        <v>20</v>
      </c>
      <c r="F42" s="22"/>
      <c r="G42" s="23" t="s">
        <v>102</v>
      </c>
      <c r="H42" s="24">
        <v>2</v>
      </c>
      <c r="I42" s="25"/>
      <c r="J42" s="37"/>
      <c r="K42" s="26"/>
      <c r="L42" s="26"/>
      <c r="M42" s="62">
        <f t="shared" si="2"/>
        <v>0</v>
      </c>
      <c r="N42" s="40">
        <f>1</f>
        <v>1</v>
      </c>
      <c r="O42" s="28"/>
      <c r="P42" s="28"/>
      <c r="Q42" s="27">
        <f t="shared" si="1"/>
        <v>0</v>
      </c>
    </row>
    <row r="43" spans="1:17" s="3" customFormat="1" x14ac:dyDescent="0.25">
      <c r="A43" s="66"/>
      <c r="B43" s="7" t="s">
        <v>37</v>
      </c>
      <c r="C43" s="48" t="s">
        <v>17</v>
      </c>
      <c r="D43" s="49"/>
      <c r="E43" s="50" t="s">
        <v>20</v>
      </c>
      <c r="F43" s="22"/>
      <c r="G43" s="67" t="s">
        <v>104</v>
      </c>
      <c r="H43" s="48"/>
      <c r="I43" s="68"/>
      <c r="J43" s="52"/>
      <c r="K43" s="26"/>
      <c r="L43" s="26"/>
      <c r="M43" s="62">
        <f t="shared" si="2"/>
        <v>0</v>
      </c>
      <c r="N43" s="40"/>
      <c r="O43" s="62"/>
      <c r="P43" s="62"/>
      <c r="Q43" s="69">
        <f t="shared" si="1"/>
        <v>0</v>
      </c>
    </row>
    <row r="44" spans="1:17" s="3" customFormat="1" x14ac:dyDescent="0.25">
      <c r="A44" s="66"/>
      <c r="B44" s="7" t="s">
        <v>37</v>
      </c>
      <c r="C44" s="48" t="s">
        <v>17</v>
      </c>
      <c r="D44" s="49"/>
      <c r="E44" s="50" t="s">
        <v>18</v>
      </c>
      <c r="F44" s="22"/>
      <c r="G44" s="67" t="s">
        <v>106</v>
      </c>
      <c r="H44" s="48"/>
      <c r="I44" s="68"/>
      <c r="J44" s="52"/>
      <c r="K44" s="26"/>
      <c r="L44" s="26"/>
      <c r="M44" s="62">
        <f t="shared" si="2"/>
        <v>0</v>
      </c>
      <c r="N44" s="40"/>
      <c r="O44" s="62"/>
      <c r="P44" s="62"/>
      <c r="Q44" s="69">
        <f t="shared" si="1"/>
        <v>0</v>
      </c>
    </row>
    <row r="45" spans="1:17" s="3" customFormat="1" x14ac:dyDescent="0.25">
      <c r="A45" s="66"/>
      <c r="B45" s="11" t="s">
        <v>38</v>
      </c>
      <c r="C45" s="48" t="s">
        <v>17</v>
      </c>
      <c r="D45" s="49"/>
      <c r="E45" s="50" t="s">
        <v>20</v>
      </c>
      <c r="F45" s="22"/>
      <c r="G45" s="67" t="s">
        <v>104</v>
      </c>
      <c r="H45" s="48"/>
      <c r="I45" s="68"/>
      <c r="J45" s="52"/>
      <c r="K45" s="26"/>
      <c r="L45" s="26"/>
      <c r="M45" s="62">
        <f t="shared" si="2"/>
        <v>0</v>
      </c>
      <c r="N45" s="40"/>
      <c r="O45" s="62"/>
      <c r="P45" s="62"/>
      <c r="Q45" s="69">
        <f t="shared" si="1"/>
        <v>0</v>
      </c>
    </row>
    <row r="46" spans="1:17" s="3" customFormat="1" x14ac:dyDescent="0.25">
      <c r="A46" s="66"/>
      <c r="B46" s="7" t="s">
        <v>39</v>
      </c>
      <c r="C46" s="48" t="s">
        <v>17</v>
      </c>
      <c r="D46" s="49"/>
      <c r="E46" s="54" t="s">
        <v>40</v>
      </c>
      <c r="F46" s="22"/>
      <c r="G46" s="23" t="s">
        <v>102</v>
      </c>
      <c r="H46" s="24"/>
      <c r="I46" s="25"/>
      <c r="J46" s="37"/>
      <c r="K46" s="26"/>
      <c r="L46" s="26"/>
      <c r="M46" s="62">
        <f t="shared" si="2"/>
        <v>0</v>
      </c>
      <c r="N46" s="40">
        <f>2</f>
        <v>2</v>
      </c>
      <c r="O46" s="28"/>
      <c r="P46" s="28"/>
      <c r="Q46" s="27">
        <f t="shared" si="1"/>
        <v>0</v>
      </c>
    </row>
    <row r="47" spans="1:17" s="3" customFormat="1" x14ac:dyDescent="0.25">
      <c r="A47" s="66"/>
      <c r="B47" s="7" t="s">
        <v>39</v>
      </c>
      <c r="C47" s="48" t="s">
        <v>17</v>
      </c>
      <c r="D47" s="49"/>
      <c r="E47" s="54" t="s">
        <v>40</v>
      </c>
      <c r="F47" s="22"/>
      <c r="G47" s="67" t="s">
        <v>104</v>
      </c>
      <c r="H47" s="48"/>
      <c r="I47" s="68"/>
      <c r="J47" s="52"/>
      <c r="K47" s="26"/>
      <c r="L47" s="26"/>
      <c r="M47" s="62">
        <f t="shared" si="2"/>
        <v>0</v>
      </c>
      <c r="N47" s="40"/>
      <c r="O47" s="62"/>
      <c r="P47" s="62"/>
      <c r="Q47" s="69">
        <f t="shared" si="1"/>
        <v>0</v>
      </c>
    </row>
    <row r="48" spans="1:17" s="3" customFormat="1" x14ac:dyDescent="0.25">
      <c r="A48" s="66"/>
      <c r="B48" s="7" t="s">
        <v>123</v>
      </c>
      <c r="C48" s="48" t="s">
        <v>17</v>
      </c>
      <c r="D48" s="49"/>
      <c r="E48" s="50" t="s">
        <v>20</v>
      </c>
      <c r="F48" s="22"/>
      <c r="G48" s="23" t="s">
        <v>102</v>
      </c>
      <c r="H48" s="24">
        <v>1</v>
      </c>
      <c r="I48" s="29"/>
      <c r="J48" s="37"/>
      <c r="K48" s="26"/>
      <c r="L48" s="26"/>
      <c r="M48" s="62">
        <f t="shared" si="2"/>
        <v>0</v>
      </c>
      <c r="N48" s="40">
        <f>2</f>
        <v>2</v>
      </c>
      <c r="O48" s="28"/>
      <c r="P48" s="28"/>
      <c r="Q48" s="27">
        <f t="shared" si="1"/>
        <v>0</v>
      </c>
    </row>
    <row r="49" spans="1:17" s="3" customFormat="1" x14ac:dyDescent="0.25">
      <c r="A49" s="66"/>
      <c r="B49" s="7" t="s">
        <v>123</v>
      </c>
      <c r="C49" s="48" t="s">
        <v>17</v>
      </c>
      <c r="D49" s="49"/>
      <c r="E49" s="54" t="s">
        <v>32</v>
      </c>
      <c r="F49" s="22"/>
      <c r="G49" s="67" t="s">
        <v>107</v>
      </c>
      <c r="H49" s="48"/>
      <c r="I49" s="68"/>
      <c r="J49" s="37"/>
      <c r="K49" s="26"/>
      <c r="L49" s="26"/>
      <c r="M49" s="62">
        <f t="shared" si="2"/>
        <v>0</v>
      </c>
      <c r="N49" s="40"/>
      <c r="O49" s="62"/>
      <c r="P49" s="62"/>
      <c r="Q49" s="69">
        <f t="shared" si="1"/>
        <v>0</v>
      </c>
    </row>
    <row r="50" spans="1:17" s="3" customFormat="1" x14ac:dyDescent="0.25">
      <c r="A50" s="66"/>
      <c r="B50" s="8" t="s">
        <v>41</v>
      </c>
      <c r="C50" s="48" t="s">
        <v>17</v>
      </c>
      <c r="D50" s="49"/>
      <c r="E50" s="50" t="s">
        <v>23</v>
      </c>
      <c r="F50" s="22"/>
      <c r="G50" s="23" t="s">
        <v>102</v>
      </c>
      <c r="H50" s="24"/>
      <c r="I50" s="25"/>
      <c r="J50" s="37"/>
      <c r="K50" s="26"/>
      <c r="L50" s="26"/>
      <c r="M50" s="62">
        <f t="shared" si="2"/>
        <v>0</v>
      </c>
      <c r="N50" s="40"/>
      <c r="O50" s="28"/>
      <c r="P50" s="28"/>
      <c r="Q50" s="27">
        <f t="shared" si="1"/>
        <v>0</v>
      </c>
    </row>
    <row r="51" spans="1:17" s="3" customFormat="1" x14ac:dyDescent="0.25">
      <c r="A51" s="66"/>
      <c r="B51" s="8" t="s">
        <v>41</v>
      </c>
      <c r="C51" s="48" t="s">
        <v>17</v>
      </c>
      <c r="D51" s="49"/>
      <c r="E51" s="50" t="s">
        <v>23</v>
      </c>
      <c r="F51" s="22"/>
      <c r="G51" s="67" t="s">
        <v>108</v>
      </c>
      <c r="H51" s="48"/>
      <c r="I51" s="68"/>
      <c r="J51" s="37"/>
      <c r="K51" s="26"/>
      <c r="L51" s="26"/>
      <c r="M51" s="62">
        <f t="shared" si="2"/>
        <v>0</v>
      </c>
      <c r="N51" s="40"/>
      <c r="O51" s="62"/>
      <c r="P51" s="62"/>
      <c r="Q51" s="69">
        <f t="shared" si="1"/>
        <v>0</v>
      </c>
    </row>
    <row r="52" spans="1:17" s="3" customFormat="1" x14ac:dyDescent="0.25">
      <c r="A52" s="66"/>
      <c r="B52" s="8" t="s">
        <v>134</v>
      </c>
      <c r="C52" s="48" t="s">
        <v>17</v>
      </c>
      <c r="D52" s="49"/>
      <c r="E52" s="67" t="s">
        <v>108</v>
      </c>
      <c r="F52" s="22"/>
      <c r="G52" s="23" t="s">
        <v>102</v>
      </c>
      <c r="H52" s="24"/>
      <c r="I52" s="25"/>
      <c r="J52" s="37"/>
      <c r="K52" s="26"/>
      <c r="L52" s="26"/>
      <c r="M52" s="62">
        <f t="shared" si="2"/>
        <v>0</v>
      </c>
      <c r="N52" s="40"/>
      <c r="O52" s="28"/>
      <c r="P52" s="28"/>
      <c r="Q52" s="27">
        <f t="shared" si="1"/>
        <v>0</v>
      </c>
    </row>
    <row r="53" spans="1:17" s="3" customFormat="1" x14ac:dyDescent="0.25">
      <c r="A53" s="66"/>
      <c r="B53" s="11" t="s">
        <v>118</v>
      </c>
      <c r="C53" s="48" t="s">
        <v>62</v>
      </c>
      <c r="D53" s="49" t="s">
        <v>151</v>
      </c>
      <c r="E53" s="50" t="s">
        <v>20</v>
      </c>
      <c r="F53" s="22"/>
      <c r="G53" s="67" t="s">
        <v>104</v>
      </c>
      <c r="H53" s="48">
        <v>1</v>
      </c>
      <c r="I53" s="71"/>
      <c r="J53" s="52"/>
      <c r="K53" s="53"/>
      <c r="L53" s="53"/>
      <c r="M53" s="62">
        <f t="shared" si="2"/>
        <v>0</v>
      </c>
      <c r="N53" s="43"/>
      <c r="O53" s="62"/>
      <c r="P53" s="62"/>
      <c r="Q53" s="69">
        <f t="shared" si="1"/>
        <v>0</v>
      </c>
    </row>
    <row r="54" spans="1:17" s="3" customFormat="1" x14ac:dyDescent="0.25">
      <c r="A54" s="66"/>
      <c r="B54" s="8" t="s">
        <v>133</v>
      </c>
      <c r="C54" s="48" t="s">
        <v>17</v>
      </c>
      <c r="D54" s="49"/>
      <c r="E54" s="54" t="s">
        <v>32</v>
      </c>
      <c r="F54" s="22"/>
      <c r="G54" s="67" t="s">
        <v>107</v>
      </c>
      <c r="H54" s="48"/>
      <c r="I54" s="71"/>
      <c r="J54" s="52"/>
      <c r="K54" s="53"/>
      <c r="L54" s="53"/>
      <c r="M54" s="62">
        <f t="shared" si="2"/>
        <v>0</v>
      </c>
      <c r="N54" s="43"/>
      <c r="O54" s="62"/>
      <c r="P54" s="62"/>
      <c r="Q54" s="69">
        <f t="shared" si="1"/>
        <v>0</v>
      </c>
    </row>
    <row r="55" spans="1:17" s="4" customFormat="1" x14ac:dyDescent="0.25">
      <c r="A55" s="66"/>
      <c r="B55" s="11" t="s">
        <v>42</v>
      </c>
      <c r="C55" s="48" t="s">
        <v>17</v>
      </c>
      <c r="D55" s="49"/>
      <c r="E55" s="50" t="s">
        <v>18</v>
      </c>
      <c r="F55" s="22"/>
      <c r="G55" s="23" t="s">
        <v>102</v>
      </c>
      <c r="H55" s="24"/>
      <c r="I55" s="25"/>
      <c r="J55" s="37"/>
      <c r="K55" s="26"/>
      <c r="L55" s="26"/>
      <c r="M55" s="62">
        <f t="shared" si="2"/>
        <v>0</v>
      </c>
      <c r="N55" s="40"/>
      <c r="O55" s="28"/>
      <c r="P55" s="28"/>
      <c r="Q55" s="27">
        <f t="shared" si="1"/>
        <v>0</v>
      </c>
    </row>
    <row r="56" spans="1:17" s="4" customFormat="1" ht="30" x14ac:dyDescent="0.25">
      <c r="A56" s="66"/>
      <c r="B56" s="11" t="s">
        <v>42</v>
      </c>
      <c r="C56" s="48" t="s">
        <v>135</v>
      </c>
      <c r="D56" s="49" t="s">
        <v>153</v>
      </c>
      <c r="E56" s="50" t="s">
        <v>18</v>
      </c>
      <c r="F56" s="22"/>
      <c r="G56" s="80" t="s">
        <v>106</v>
      </c>
      <c r="H56" s="48"/>
      <c r="I56" s="71"/>
      <c r="J56" s="38"/>
      <c r="K56" s="26"/>
      <c r="L56" s="26"/>
      <c r="M56" s="62">
        <f t="shared" si="2"/>
        <v>0</v>
      </c>
      <c r="N56" s="43"/>
      <c r="O56" s="62"/>
      <c r="P56" s="62"/>
      <c r="Q56" s="69">
        <f t="shared" si="1"/>
        <v>0</v>
      </c>
    </row>
    <row r="57" spans="1:17" s="3" customFormat="1" x14ac:dyDescent="0.25">
      <c r="A57" s="66"/>
      <c r="B57" s="8" t="s">
        <v>43</v>
      </c>
      <c r="C57" s="48" t="s">
        <v>17</v>
      </c>
      <c r="D57" s="49"/>
      <c r="E57" s="50" t="s">
        <v>20</v>
      </c>
      <c r="F57" s="22"/>
      <c r="G57" s="23" t="s">
        <v>102</v>
      </c>
      <c r="H57" s="24">
        <v>2</v>
      </c>
      <c r="I57" s="25"/>
      <c r="J57" s="37"/>
      <c r="K57" s="26"/>
      <c r="L57" s="26"/>
      <c r="M57" s="62">
        <f t="shared" si="2"/>
        <v>0</v>
      </c>
      <c r="N57" s="40">
        <f>1</f>
        <v>1</v>
      </c>
      <c r="O57" s="28"/>
      <c r="P57" s="28"/>
      <c r="Q57" s="27">
        <f t="shared" si="1"/>
        <v>0</v>
      </c>
    </row>
    <row r="58" spans="1:17" s="3" customFormat="1" x14ac:dyDescent="0.25">
      <c r="A58" s="66"/>
      <c r="B58" s="8" t="s">
        <v>43</v>
      </c>
      <c r="C58" s="48" t="s">
        <v>17</v>
      </c>
      <c r="D58" s="49"/>
      <c r="E58" s="50" t="s">
        <v>20</v>
      </c>
      <c r="F58" s="22"/>
      <c r="G58" s="67" t="s">
        <v>104</v>
      </c>
      <c r="H58" s="48"/>
      <c r="I58" s="68"/>
      <c r="J58" s="52"/>
      <c r="K58" s="26"/>
      <c r="L58" s="26"/>
      <c r="M58" s="62">
        <f t="shared" si="2"/>
        <v>0</v>
      </c>
      <c r="N58" s="40"/>
      <c r="O58" s="62"/>
      <c r="P58" s="62"/>
      <c r="Q58" s="69">
        <f t="shared" si="1"/>
        <v>0</v>
      </c>
    </row>
    <row r="59" spans="1:17" s="3" customFormat="1" x14ac:dyDescent="0.25">
      <c r="A59" s="66"/>
      <c r="B59" s="8" t="s">
        <v>159</v>
      </c>
      <c r="C59" s="48" t="s">
        <v>17</v>
      </c>
      <c r="D59" s="49"/>
      <c r="E59" s="50" t="s">
        <v>20</v>
      </c>
      <c r="F59" s="22"/>
      <c r="G59" s="67" t="s">
        <v>102</v>
      </c>
      <c r="H59" s="48"/>
      <c r="I59" s="68"/>
      <c r="J59" s="52"/>
      <c r="K59" s="26"/>
      <c r="L59" s="26"/>
      <c r="M59" s="62">
        <f t="shared" si="2"/>
        <v>0</v>
      </c>
      <c r="N59" s="40"/>
      <c r="O59" s="62"/>
      <c r="P59" s="62"/>
      <c r="Q59" s="27">
        <f t="shared" si="1"/>
        <v>0</v>
      </c>
    </row>
    <row r="60" spans="1:17" s="3" customFormat="1" x14ac:dyDescent="0.25">
      <c r="A60" s="66"/>
      <c r="B60" s="7" t="s">
        <v>44</v>
      </c>
      <c r="C60" s="48" t="s">
        <v>17</v>
      </c>
      <c r="D60" s="49"/>
      <c r="E60" s="50" t="s">
        <v>20</v>
      </c>
      <c r="F60" s="22"/>
      <c r="G60" s="23" t="s">
        <v>102</v>
      </c>
      <c r="H60" s="24"/>
      <c r="I60" s="25"/>
      <c r="J60" s="37"/>
      <c r="K60" s="26"/>
      <c r="L60" s="26"/>
      <c r="M60" s="62">
        <f t="shared" si="2"/>
        <v>0</v>
      </c>
      <c r="N60" s="40"/>
      <c r="O60" s="28"/>
      <c r="P60" s="28"/>
      <c r="Q60" s="27">
        <f t="shared" si="1"/>
        <v>0</v>
      </c>
    </row>
    <row r="61" spans="1:17" s="3" customFormat="1" x14ac:dyDescent="0.25">
      <c r="A61" s="66"/>
      <c r="B61" s="7" t="s">
        <v>44</v>
      </c>
      <c r="C61" s="48" t="s">
        <v>17</v>
      </c>
      <c r="D61" s="49"/>
      <c r="E61" s="50" t="s">
        <v>20</v>
      </c>
      <c r="F61" s="22"/>
      <c r="G61" s="67" t="s">
        <v>104</v>
      </c>
      <c r="H61" s="48"/>
      <c r="I61" s="68"/>
      <c r="J61" s="52"/>
      <c r="K61" s="26"/>
      <c r="L61" s="26"/>
      <c r="M61" s="62">
        <f t="shared" si="2"/>
        <v>0</v>
      </c>
      <c r="N61" s="40"/>
      <c r="O61" s="62"/>
      <c r="P61" s="62"/>
      <c r="Q61" s="69">
        <f t="shared" si="1"/>
        <v>0</v>
      </c>
    </row>
    <row r="62" spans="1:17" s="4" customFormat="1" x14ac:dyDescent="0.25">
      <c r="A62" s="66"/>
      <c r="B62" s="7" t="s">
        <v>45</v>
      </c>
      <c r="C62" s="48" t="s">
        <v>17</v>
      </c>
      <c r="D62" s="49"/>
      <c r="E62" s="50" t="s">
        <v>20</v>
      </c>
      <c r="F62" s="22"/>
      <c r="G62" s="23" t="s">
        <v>102</v>
      </c>
      <c r="H62" s="24">
        <v>2</v>
      </c>
      <c r="I62" s="25"/>
      <c r="J62" s="37"/>
      <c r="K62" s="26"/>
      <c r="L62" s="26"/>
      <c r="M62" s="62">
        <f t="shared" si="2"/>
        <v>0</v>
      </c>
      <c r="N62" s="40">
        <f>4</f>
        <v>4</v>
      </c>
      <c r="O62" s="28"/>
      <c r="P62" s="28"/>
      <c r="Q62" s="27">
        <f t="shared" si="1"/>
        <v>0</v>
      </c>
    </row>
    <row r="63" spans="1:17" s="4" customFormat="1" x14ac:dyDescent="0.25">
      <c r="A63" s="66"/>
      <c r="B63" s="7" t="s">
        <v>45</v>
      </c>
      <c r="C63" s="48" t="s">
        <v>17</v>
      </c>
      <c r="D63" s="49"/>
      <c r="E63" s="50" t="s">
        <v>20</v>
      </c>
      <c r="F63" s="22"/>
      <c r="G63" s="67" t="s">
        <v>104</v>
      </c>
      <c r="H63" s="48"/>
      <c r="I63" s="68"/>
      <c r="J63" s="52"/>
      <c r="K63" s="26"/>
      <c r="L63" s="26"/>
      <c r="M63" s="62">
        <f t="shared" si="2"/>
        <v>0</v>
      </c>
      <c r="N63" s="40"/>
      <c r="O63" s="62"/>
      <c r="P63" s="62"/>
      <c r="Q63" s="69">
        <f t="shared" si="1"/>
        <v>0</v>
      </c>
    </row>
    <row r="64" spans="1:17" s="3" customFormat="1" ht="45" x14ac:dyDescent="0.25">
      <c r="A64" s="66"/>
      <c r="B64" s="8" t="s">
        <v>46</v>
      </c>
      <c r="C64" s="48" t="s">
        <v>135</v>
      </c>
      <c r="D64" s="49" t="s">
        <v>154</v>
      </c>
      <c r="E64" s="50" t="s">
        <v>18</v>
      </c>
      <c r="F64" s="22"/>
      <c r="G64" s="23" t="s">
        <v>102</v>
      </c>
      <c r="H64" s="24">
        <v>1</v>
      </c>
      <c r="I64" s="25"/>
      <c r="J64" s="38"/>
      <c r="K64" s="26"/>
      <c r="L64" s="26"/>
      <c r="M64" s="62">
        <f t="shared" si="2"/>
        <v>0</v>
      </c>
      <c r="N64" s="40"/>
      <c r="O64" s="28"/>
      <c r="P64" s="28"/>
      <c r="Q64" s="27">
        <f t="shared" si="1"/>
        <v>0</v>
      </c>
    </row>
    <row r="65" spans="1:17" s="3" customFormat="1" ht="45" x14ac:dyDescent="0.25">
      <c r="A65" s="66">
        <v>22</v>
      </c>
      <c r="B65" s="11" t="s">
        <v>109</v>
      </c>
      <c r="C65" s="48" t="s">
        <v>135</v>
      </c>
      <c r="D65" s="49" t="s">
        <v>154</v>
      </c>
      <c r="E65" s="50" t="s">
        <v>18</v>
      </c>
      <c r="F65" s="22"/>
      <c r="G65" s="67" t="s">
        <v>106</v>
      </c>
      <c r="H65" s="48">
        <v>1</v>
      </c>
      <c r="I65" s="71"/>
      <c r="J65" s="38"/>
      <c r="K65" s="26"/>
      <c r="L65" s="26"/>
      <c r="M65" s="62">
        <f t="shared" si="2"/>
        <v>0</v>
      </c>
      <c r="N65" s="40"/>
      <c r="O65" s="62"/>
      <c r="P65" s="62"/>
      <c r="Q65" s="69">
        <f t="shared" si="1"/>
        <v>0</v>
      </c>
    </row>
    <row r="66" spans="1:17" s="3" customFormat="1" x14ac:dyDescent="0.25">
      <c r="A66" s="66"/>
      <c r="B66" s="8" t="s">
        <v>114</v>
      </c>
      <c r="C66" s="48" t="s">
        <v>17</v>
      </c>
      <c r="D66" s="49"/>
      <c r="E66" s="50" t="s">
        <v>20</v>
      </c>
      <c r="F66" s="22"/>
      <c r="G66" s="23" t="s">
        <v>102</v>
      </c>
      <c r="H66" s="24"/>
      <c r="I66" s="25"/>
      <c r="J66" s="37"/>
      <c r="K66" s="26"/>
      <c r="L66" s="26"/>
      <c r="M66" s="62">
        <f t="shared" si="2"/>
        <v>0</v>
      </c>
      <c r="N66" s="40"/>
      <c r="O66" s="28"/>
      <c r="P66" s="28"/>
      <c r="Q66" s="27">
        <f t="shared" si="1"/>
        <v>0</v>
      </c>
    </row>
    <row r="67" spans="1:17" s="3" customFormat="1" x14ac:dyDescent="0.25">
      <c r="A67" s="66"/>
      <c r="B67" s="8" t="s">
        <v>114</v>
      </c>
      <c r="C67" s="48" t="s">
        <v>17</v>
      </c>
      <c r="D67" s="49"/>
      <c r="E67" s="50" t="s">
        <v>20</v>
      </c>
      <c r="F67" s="22"/>
      <c r="G67" s="67" t="s">
        <v>104</v>
      </c>
      <c r="H67" s="48">
        <v>1</v>
      </c>
      <c r="I67" s="68"/>
      <c r="J67" s="52"/>
      <c r="K67" s="26"/>
      <c r="L67" s="26"/>
      <c r="M67" s="62">
        <f t="shared" si="2"/>
        <v>0</v>
      </c>
      <c r="N67" s="40"/>
      <c r="O67" s="62"/>
      <c r="P67" s="62"/>
      <c r="Q67" s="69">
        <f t="shared" si="1"/>
        <v>0</v>
      </c>
    </row>
    <row r="68" spans="1:17" s="3" customFormat="1" x14ac:dyDescent="0.25">
      <c r="A68" s="66"/>
      <c r="B68" s="11" t="s">
        <v>47</v>
      </c>
      <c r="C68" s="48" t="s">
        <v>17</v>
      </c>
      <c r="D68" s="49"/>
      <c r="E68" s="50" t="s">
        <v>20</v>
      </c>
      <c r="F68" s="22"/>
      <c r="G68" s="23" t="s">
        <v>102</v>
      </c>
      <c r="H68" s="24">
        <v>5</v>
      </c>
      <c r="I68" s="25"/>
      <c r="J68" s="37"/>
      <c r="K68" s="26"/>
      <c r="L68" s="26"/>
      <c r="M68" s="62">
        <f t="shared" si="2"/>
        <v>0</v>
      </c>
      <c r="N68" s="40">
        <f>2</f>
        <v>2</v>
      </c>
      <c r="O68" s="28"/>
      <c r="P68" s="28"/>
      <c r="Q68" s="27">
        <f t="shared" si="1"/>
        <v>0</v>
      </c>
    </row>
    <row r="69" spans="1:17" s="3" customFormat="1" x14ac:dyDescent="0.25">
      <c r="A69" s="66"/>
      <c r="B69" s="11" t="s">
        <v>48</v>
      </c>
      <c r="C69" s="48" t="s">
        <v>17</v>
      </c>
      <c r="D69" s="49"/>
      <c r="E69" s="50" t="s">
        <v>49</v>
      </c>
      <c r="F69" s="22"/>
      <c r="G69" s="23" t="s">
        <v>102</v>
      </c>
      <c r="H69" s="24"/>
      <c r="I69" s="25"/>
      <c r="J69" s="37"/>
      <c r="K69" s="26"/>
      <c r="L69" s="26"/>
      <c r="M69" s="62">
        <f t="shared" si="2"/>
        <v>0</v>
      </c>
      <c r="N69" s="40">
        <f>5</f>
        <v>5</v>
      </c>
      <c r="O69" s="28"/>
      <c r="P69" s="28"/>
      <c r="Q69" s="69">
        <f t="shared" si="1"/>
        <v>0</v>
      </c>
    </row>
    <row r="70" spans="1:17" s="3" customFormat="1" x14ac:dyDescent="0.25">
      <c r="A70" s="66"/>
      <c r="B70" s="11" t="s">
        <v>48</v>
      </c>
      <c r="C70" s="48" t="s">
        <v>17</v>
      </c>
      <c r="D70" s="49"/>
      <c r="E70" s="50" t="s">
        <v>49</v>
      </c>
      <c r="F70" s="22"/>
      <c r="G70" s="67" t="s">
        <v>105</v>
      </c>
      <c r="H70" s="48">
        <v>1</v>
      </c>
      <c r="I70" s="68"/>
      <c r="J70" s="37"/>
      <c r="K70" s="26"/>
      <c r="L70" s="26"/>
      <c r="M70" s="62">
        <f t="shared" si="2"/>
        <v>0</v>
      </c>
      <c r="N70" s="40"/>
      <c r="O70" s="62"/>
      <c r="P70" s="62"/>
      <c r="Q70" s="27">
        <f t="shared" si="1"/>
        <v>0</v>
      </c>
    </row>
    <row r="71" spans="1:17" s="3" customFormat="1" x14ac:dyDescent="0.25">
      <c r="A71" s="66"/>
      <c r="B71" s="7" t="s">
        <v>50</v>
      </c>
      <c r="C71" s="48" t="s">
        <v>17</v>
      </c>
      <c r="D71" s="49"/>
      <c r="E71" s="50" t="s">
        <v>20</v>
      </c>
      <c r="F71" s="22"/>
      <c r="G71" s="23" t="s">
        <v>102</v>
      </c>
      <c r="H71" s="24"/>
      <c r="I71" s="25"/>
      <c r="J71" s="37"/>
      <c r="K71" s="26"/>
      <c r="L71" s="26"/>
      <c r="M71" s="62">
        <f t="shared" si="2"/>
        <v>0</v>
      </c>
      <c r="N71" s="40"/>
      <c r="O71" s="28"/>
      <c r="P71" s="28"/>
      <c r="Q71" s="69">
        <f t="shared" si="1"/>
        <v>0</v>
      </c>
    </row>
    <row r="72" spans="1:17" s="3" customFormat="1" x14ac:dyDescent="0.25">
      <c r="A72" s="66"/>
      <c r="B72" s="7" t="s">
        <v>50</v>
      </c>
      <c r="C72" s="48" t="s">
        <v>17</v>
      </c>
      <c r="D72" s="49"/>
      <c r="E72" s="50" t="s">
        <v>20</v>
      </c>
      <c r="F72" s="22"/>
      <c r="G72" s="67" t="s">
        <v>104</v>
      </c>
      <c r="H72" s="48"/>
      <c r="I72" s="68"/>
      <c r="J72" s="52"/>
      <c r="K72" s="26"/>
      <c r="L72" s="26"/>
      <c r="M72" s="62">
        <f t="shared" si="2"/>
        <v>0</v>
      </c>
      <c r="N72" s="40"/>
      <c r="O72" s="62"/>
      <c r="P72" s="62"/>
      <c r="Q72" s="69">
        <f t="shared" si="1"/>
        <v>0</v>
      </c>
    </row>
    <row r="73" spans="1:17" s="3" customFormat="1" x14ac:dyDescent="0.25">
      <c r="A73" s="66"/>
      <c r="B73" s="11" t="s">
        <v>51</v>
      </c>
      <c r="C73" s="48" t="s">
        <v>17</v>
      </c>
      <c r="D73" s="49"/>
      <c r="E73" s="50" t="s">
        <v>20</v>
      </c>
      <c r="F73" s="22"/>
      <c r="G73" s="23" t="s">
        <v>102</v>
      </c>
      <c r="H73" s="24"/>
      <c r="I73" s="25"/>
      <c r="J73" s="37"/>
      <c r="K73" s="26"/>
      <c r="L73" s="26"/>
      <c r="M73" s="62">
        <f t="shared" si="2"/>
        <v>0</v>
      </c>
      <c r="N73" s="40">
        <f>1+1</f>
        <v>2</v>
      </c>
      <c r="O73" s="28"/>
      <c r="P73" s="28"/>
      <c r="Q73" s="69">
        <f t="shared" si="1"/>
        <v>0</v>
      </c>
    </row>
    <row r="74" spans="1:17" s="3" customFormat="1" x14ac:dyDescent="0.25">
      <c r="A74" s="66"/>
      <c r="B74" s="11" t="s">
        <v>51</v>
      </c>
      <c r="C74" s="48" t="s">
        <v>17</v>
      </c>
      <c r="D74" s="49"/>
      <c r="E74" s="50" t="s">
        <v>20</v>
      </c>
      <c r="F74" s="22"/>
      <c r="G74" s="67" t="s">
        <v>104</v>
      </c>
      <c r="H74" s="48">
        <v>1</v>
      </c>
      <c r="I74" s="68"/>
      <c r="J74" s="52"/>
      <c r="K74" s="26"/>
      <c r="L74" s="26"/>
      <c r="M74" s="62">
        <f t="shared" si="2"/>
        <v>0</v>
      </c>
      <c r="N74" s="40"/>
      <c r="O74" s="79"/>
      <c r="P74" s="79"/>
      <c r="Q74" s="69">
        <f t="shared" si="1"/>
        <v>0</v>
      </c>
    </row>
    <row r="75" spans="1:17" s="3" customFormat="1" x14ac:dyDescent="0.25">
      <c r="A75" s="66"/>
      <c r="B75" s="7" t="s">
        <v>52</v>
      </c>
      <c r="C75" s="48" t="s">
        <v>17</v>
      </c>
      <c r="D75" s="49"/>
      <c r="E75" s="50" t="s">
        <v>20</v>
      </c>
      <c r="F75" s="22"/>
      <c r="G75" s="23" t="s">
        <v>102</v>
      </c>
      <c r="H75" s="24"/>
      <c r="I75" s="25"/>
      <c r="J75" s="37"/>
      <c r="K75" s="26"/>
      <c r="L75" s="26"/>
      <c r="M75" s="62">
        <f t="shared" si="2"/>
        <v>0</v>
      </c>
      <c r="N75" s="40"/>
      <c r="O75" s="28"/>
      <c r="P75" s="28"/>
      <c r="Q75" s="69">
        <f t="shared" si="1"/>
        <v>0</v>
      </c>
    </row>
    <row r="76" spans="1:17" s="3" customFormat="1" x14ac:dyDescent="0.25">
      <c r="A76" s="66"/>
      <c r="B76" s="7" t="s">
        <v>124</v>
      </c>
      <c r="C76" s="48" t="s">
        <v>17</v>
      </c>
      <c r="D76" s="49"/>
      <c r="E76" s="50" t="s">
        <v>145</v>
      </c>
      <c r="F76" s="22"/>
      <c r="G76" s="23" t="s">
        <v>102</v>
      </c>
      <c r="H76" s="24">
        <v>1</v>
      </c>
      <c r="I76" s="25"/>
      <c r="J76" s="37"/>
      <c r="K76" s="26"/>
      <c r="L76" s="26"/>
      <c r="M76" s="62">
        <f t="shared" ref="M76:M139" si="3">K76-L76</f>
        <v>0</v>
      </c>
      <c r="N76" s="40">
        <f>1</f>
        <v>1</v>
      </c>
      <c r="O76" s="28"/>
      <c r="P76" s="28"/>
      <c r="Q76" s="27">
        <f t="shared" si="1"/>
        <v>0</v>
      </c>
    </row>
    <row r="77" spans="1:17" s="3" customFormat="1" x14ac:dyDescent="0.25">
      <c r="A77" s="66"/>
      <c r="B77" s="7" t="s">
        <v>124</v>
      </c>
      <c r="C77" s="48" t="s">
        <v>17</v>
      </c>
      <c r="D77" s="49"/>
      <c r="E77" s="50" t="s">
        <v>145</v>
      </c>
      <c r="F77" s="22"/>
      <c r="G77" s="67" t="s">
        <v>108</v>
      </c>
      <c r="H77" s="48"/>
      <c r="I77" s="71"/>
      <c r="J77" s="52"/>
      <c r="K77" s="53"/>
      <c r="L77" s="53"/>
      <c r="M77" s="62">
        <f t="shared" si="3"/>
        <v>0</v>
      </c>
      <c r="N77" s="43"/>
      <c r="O77" s="62"/>
      <c r="P77" s="62"/>
      <c r="Q77" s="69">
        <f t="shared" si="1"/>
        <v>0</v>
      </c>
    </row>
    <row r="78" spans="1:17" s="3" customFormat="1" x14ac:dyDescent="0.25">
      <c r="A78" s="66"/>
      <c r="B78" s="11" t="s">
        <v>101</v>
      </c>
      <c r="C78" s="48" t="s">
        <v>17</v>
      </c>
      <c r="D78" s="49"/>
      <c r="E78" s="54" t="s">
        <v>20</v>
      </c>
      <c r="F78" s="22"/>
      <c r="G78" s="23" t="s">
        <v>102</v>
      </c>
      <c r="H78" s="24"/>
      <c r="I78" s="25"/>
      <c r="J78" s="37"/>
      <c r="K78" s="26"/>
      <c r="L78" s="26"/>
      <c r="M78" s="62">
        <f t="shared" si="3"/>
        <v>0</v>
      </c>
      <c r="N78" s="40">
        <f>1</f>
        <v>1</v>
      </c>
      <c r="O78" s="28"/>
      <c r="P78" s="28"/>
      <c r="Q78" s="27">
        <f t="shared" si="1"/>
        <v>0</v>
      </c>
    </row>
    <row r="79" spans="1:17" s="3" customFormat="1" x14ac:dyDescent="0.25">
      <c r="A79" s="66"/>
      <c r="B79" s="8" t="s">
        <v>53</v>
      </c>
      <c r="C79" s="48" t="s">
        <v>17</v>
      </c>
      <c r="D79" s="49"/>
      <c r="E79" s="54" t="s">
        <v>20</v>
      </c>
      <c r="F79" s="22"/>
      <c r="G79" s="23" t="s">
        <v>102</v>
      </c>
      <c r="H79" s="24"/>
      <c r="I79" s="25"/>
      <c r="J79" s="37"/>
      <c r="K79" s="26"/>
      <c r="L79" s="26"/>
      <c r="M79" s="62">
        <f t="shared" si="3"/>
        <v>0</v>
      </c>
      <c r="N79" s="40"/>
      <c r="O79" s="28"/>
      <c r="P79" s="28"/>
      <c r="Q79" s="27">
        <f t="shared" si="1"/>
        <v>0</v>
      </c>
    </row>
    <row r="80" spans="1:17" s="3" customFormat="1" ht="30" x14ac:dyDescent="0.25">
      <c r="A80" s="66"/>
      <c r="B80" s="7" t="s">
        <v>54</v>
      </c>
      <c r="C80" s="48" t="s">
        <v>135</v>
      </c>
      <c r="D80" s="49" t="s">
        <v>148</v>
      </c>
      <c r="E80" s="50" t="s">
        <v>20</v>
      </c>
      <c r="F80" s="22"/>
      <c r="G80" s="23" t="s">
        <v>102</v>
      </c>
      <c r="H80" s="24">
        <v>2</v>
      </c>
      <c r="I80" s="25"/>
      <c r="J80" s="38">
        <f>1</f>
        <v>1</v>
      </c>
      <c r="K80" s="26"/>
      <c r="L80" s="26"/>
      <c r="M80" s="62">
        <f t="shared" si="3"/>
        <v>0</v>
      </c>
      <c r="N80" s="40">
        <f>5</f>
        <v>5</v>
      </c>
      <c r="O80" s="28"/>
      <c r="P80" s="28"/>
      <c r="Q80" s="69">
        <f t="shared" si="1"/>
        <v>0</v>
      </c>
    </row>
    <row r="81" spans="1:17" s="3" customFormat="1" ht="30" x14ac:dyDescent="0.25">
      <c r="A81" s="66"/>
      <c r="B81" s="11" t="s">
        <v>55</v>
      </c>
      <c r="C81" s="48" t="s">
        <v>17</v>
      </c>
      <c r="D81" s="49" t="s">
        <v>147</v>
      </c>
      <c r="E81" s="50" t="s">
        <v>18</v>
      </c>
      <c r="F81" s="22"/>
      <c r="G81" s="23" t="s">
        <v>102</v>
      </c>
      <c r="H81" s="24">
        <v>1</v>
      </c>
      <c r="I81" s="25"/>
      <c r="J81" s="37"/>
      <c r="K81" s="26"/>
      <c r="L81" s="26"/>
      <c r="M81" s="62">
        <f t="shared" si="3"/>
        <v>0</v>
      </c>
      <c r="N81" s="40"/>
      <c r="O81" s="28"/>
      <c r="P81" s="28"/>
      <c r="Q81" s="27">
        <f t="shared" si="1"/>
        <v>0</v>
      </c>
    </row>
    <row r="82" spans="1:17" s="3" customFormat="1" ht="30" x14ac:dyDescent="0.25">
      <c r="A82" s="66"/>
      <c r="B82" s="11" t="s">
        <v>55</v>
      </c>
      <c r="C82" s="48" t="s">
        <v>135</v>
      </c>
      <c r="D82" s="49" t="s">
        <v>147</v>
      </c>
      <c r="E82" s="50" t="s">
        <v>18</v>
      </c>
      <c r="F82" s="22"/>
      <c r="G82" s="96" t="s">
        <v>106</v>
      </c>
      <c r="H82" s="48"/>
      <c r="I82" s="71"/>
      <c r="J82" s="38"/>
      <c r="K82" s="26"/>
      <c r="L82" s="26"/>
      <c r="M82" s="62">
        <f t="shared" si="3"/>
        <v>0</v>
      </c>
      <c r="N82" s="40"/>
      <c r="O82" s="62"/>
      <c r="P82" s="62"/>
      <c r="Q82" s="69">
        <f t="shared" ref="Q82:Q148" si="4">O82-P82</f>
        <v>0</v>
      </c>
    </row>
    <row r="83" spans="1:17" s="3" customFormat="1" x14ac:dyDescent="0.25">
      <c r="A83" s="66"/>
      <c r="B83" s="11" t="s">
        <v>131</v>
      </c>
      <c r="C83" s="48" t="s">
        <v>135</v>
      </c>
      <c r="D83" s="49"/>
      <c r="E83" s="50" t="s">
        <v>20</v>
      </c>
      <c r="F83" s="22"/>
      <c r="G83" s="23" t="s">
        <v>102</v>
      </c>
      <c r="H83" s="24"/>
      <c r="I83" s="25"/>
      <c r="J83" s="37"/>
      <c r="K83" s="26"/>
      <c r="L83" s="26"/>
      <c r="M83" s="62">
        <f t="shared" si="3"/>
        <v>0</v>
      </c>
      <c r="N83" s="40">
        <f>1</f>
        <v>1</v>
      </c>
      <c r="O83" s="28"/>
      <c r="P83" s="28"/>
      <c r="Q83" s="27">
        <f t="shared" si="4"/>
        <v>0</v>
      </c>
    </row>
    <row r="84" spans="1:17" s="4" customFormat="1" x14ac:dyDescent="0.25">
      <c r="A84" s="66"/>
      <c r="B84" s="11" t="s">
        <v>56</v>
      </c>
      <c r="C84" s="48" t="s">
        <v>17</v>
      </c>
      <c r="D84" s="49"/>
      <c r="E84" s="50" t="s">
        <v>20</v>
      </c>
      <c r="F84" s="22"/>
      <c r="G84" s="23" t="s">
        <v>102</v>
      </c>
      <c r="H84" s="24"/>
      <c r="I84" s="25"/>
      <c r="J84" s="37"/>
      <c r="K84" s="26"/>
      <c r="L84" s="26"/>
      <c r="M84" s="62">
        <f t="shared" si="3"/>
        <v>0</v>
      </c>
      <c r="N84" s="40"/>
      <c r="O84" s="28"/>
      <c r="P84" s="28"/>
      <c r="Q84" s="69">
        <f t="shared" si="4"/>
        <v>0</v>
      </c>
    </row>
    <row r="85" spans="1:17" s="4" customFormat="1" x14ac:dyDescent="0.25">
      <c r="A85" s="66"/>
      <c r="B85" s="11" t="s">
        <v>56</v>
      </c>
      <c r="C85" s="48" t="s">
        <v>17</v>
      </c>
      <c r="D85" s="49"/>
      <c r="E85" s="50" t="s">
        <v>20</v>
      </c>
      <c r="F85" s="22"/>
      <c r="G85" s="67" t="s">
        <v>104</v>
      </c>
      <c r="H85" s="48">
        <v>8</v>
      </c>
      <c r="I85" s="68"/>
      <c r="J85" s="52"/>
      <c r="K85" s="26"/>
      <c r="L85" s="26"/>
      <c r="M85" s="62">
        <f t="shared" si="3"/>
        <v>0</v>
      </c>
      <c r="N85" s="40"/>
      <c r="O85" s="62"/>
      <c r="P85" s="62"/>
      <c r="Q85" s="69">
        <f t="shared" si="4"/>
        <v>0</v>
      </c>
    </row>
    <row r="86" spans="1:17" s="3" customFormat="1" x14ac:dyDescent="0.25">
      <c r="A86" s="66"/>
      <c r="B86" s="11" t="s">
        <v>57</v>
      </c>
      <c r="C86" s="48" t="s">
        <v>17</v>
      </c>
      <c r="D86" s="49"/>
      <c r="E86" s="50" t="s">
        <v>20</v>
      </c>
      <c r="F86" s="22"/>
      <c r="G86" s="23" t="s">
        <v>102</v>
      </c>
      <c r="H86" s="24"/>
      <c r="I86" s="25"/>
      <c r="J86" s="37"/>
      <c r="K86" s="26"/>
      <c r="L86" s="26"/>
      <c r="M86" s="62">
        <f t="shared" si="3"/>
        <v>0</v>
      </c>
      <c r="N86" s="40">
        <f>1</f>
        <v>1</v>
      </c>
      <c r="O86" s="28"/>
      <c r="P86" s="28"/>
      <c r="Q86" s="69">
        <f t="shared" si="4"/>
        <v>0</v>
      </c>
    </row>
    <row r="87" spans="1:17" s="3" customFormat="1" x14ac:dyDescent="0.25">
      <c r="A87" s="66"/>
      <c r="B87" s="11" t="s">
        <v>57</v>
      </c>
      <c r="C87" s="48" t="s">
        <v>17</v>
      </c>
      <c r="D87" s="49"/>
      <c r="E87" s="50" t="s">
        <v>20</v>
      </c>
      <c r="F87" s="22"/>
      <c r="G87" s="67" t="s">
        <v>104</v>
      </c>
      <c r="H87" s="48"/>
      <c r="I87" s="68"/>
      <c r="J87" s="52"/>
      <c r="K87" s="26"/>
      <c r="L87" s="26"/>
      <c r="M87" s="62">
        <f t="shared" si="3"/>
        <v>0</v>
      </c>
      <c r="N87" s="40"/>
      <c r="O87" s="62"/>
      <c r="P87" s="62"/>
      <c r="Q87" s="69">
        <f t="shared" si="4"/>
        <v>0</v>
      </c>
    </row>
    <row r="88" spans="1:17" s="3" customFormat="1" x14ac:dyDescent="0.25">
      <c r="A88" s="66"/>
      <c r="B88" s="11" t="s">
        <v>58</v>
      </c>
      <c r="C88" s="48" t="s">
        <v>17</v>
      </c>
      <c r="D88" s="49"/>
      <c r="E88" s="50" t="s">
        <v>20</v>
      </c>
      <c r="F88" s="22"/>
      <c r="G88" s="23" t="s">
        <v>102</v>
      </c>
      <c r="H88" s="24"/>
      <c r="I88" s="25"/>
      <c r="J88" s="37"/>
      <c r="K88" s="26"/>
      <c r="L88" s="26"/>
      <c r="M88" s="62">
        <f t="shared" si="3"/>
        <v>0</v>
      </c>
      <c r="N88" s="40"/>
      <c r="O88" s="28"/>
      <c r="P88" s="28"/>
      <c r="Q88" s="69">
        <f t="shared" si="4"/>
        <v>0</v>
      </c>
    </row>
    <row r="89" spans="1:17" s="3" customFormat="1" x14ac:dyDescent="0.25">
      <c r="A89" s="66"/>
      <c r="B89" s="11" t="s">
        <v>58</v>
      </c>
      <c r="C89" s="48" t="s">
        <v>17</v>
      </c>
      <c r="D89" s="49"/>
      <c r="E89" s="50" t="s">
        <v>20</v>
      </c>
      <c r="F89" s="22"/>
      <c r="G89" s="67" t="s">
        <v>104</v>
      </c>
      <c r="H89" s="48"/>
      <c r="I89" s="68"/>
      <c r="J89" s="52"/>
      <c r="K89" s="26"/>
      <c r="L89" s="26"/>
      <c r="M89" s="62">
        <f t="shared" si="3"/>
        <v>0</v>
      </c>
      <c r="N89" s="40"/>
      <c r="O89" s="62"/>
      <c r="P89" s="62"/>
      <c r="Q89" s="69">
        <f t="shared" si="4"/>
        <v>0</v>
      </c>
    </row>
    <row r="90" spans="1:17" s="3" customFormat="1" x14ac:dyDescent="0.25">
      <c r="A90" s="66"/>
      <c r="B90" s="7" t="s">
        <v>59</v>
      </c>
      <c r="C90" s="48" t="s">
        <v>17</v>
      </c>
      <c r="D90" s="49"/>
      <c r="E90" s="50" t="s">
        <v>20</v>
      </c>
      <c r="F90" s="22"/>
      <c r="G90" s="23" t="s">
        <v>102</v>
      </c>
      <c r="H90" s="24">
        <v>2</v>
      </c>
      <c r="I90" s="25"/>
      <c r="J90" s="37"/>
      <c r="K90" s="26"/>
      <c r="L90" s="26"/>
      <c r="M90" s="62">
        <f t="shared" si="3"/>
        <v>0</v>
      </c>
      <c r="N90" s="40">
        <f>1</f>
        <v>1</v>
      </c>
      <c r="O90" s="28"/>
      <c r="P90" s="28"/>
      <c r="Q90" s="69">
        <f t="shared" si="4"/>
        <v>0</v>
      </c>
    </row>
    <row r="91" spans="1:17" s="3" customFormat="1" x14ac:dyDescent="0.25">
      <c r="A91" s="66"/>
      <c r="B91" s="7" t="s">
        <v>59</v>
      </c>
      <c r="C91" s="48" t="s">
        <v>17</v>
      </c>
      <c r="D91" s="49"/>
      <c r="E91" s="50" t="s">
        <v>20</v>
      </c>
      <c r="F91" s="22"/>
      <c r="G91" s="67" t="s">
        <v>104</v>
      </c>
      <c r="H91" s="48">
        <v>1</v>
      </c>
      <c r="I91" s="68"/>
      <c r="J91" s="52"/>
      <c r="K91" s="26"/>
      <c r="L91" s="26"/>
      <c r="M91" s="62">
        <f t="shared" si="3"/>
        <v>0</v>
      </c>
      <c r="N91" s="40"/>
      <c r="O91" s="62"/>
      <c r="P91" s="62"/>
      <c r="Q91" s="69">
        <f t="shared" si="4"/>
        <v>0</v>
      </c>
    </row>
    <row r="92" spans="1:17" s="3" customFormat="1" x14ac:dyDescent="0.25">
      <c r="A92" s="66"/>
      <c r="B92" s="7" t="s">
        <v>160</v>
      </c>
      <c r="C92" s="48" t="s">
        <v>17</v>
      </c>
      <c r="D92" s="49"/>
      <c r="E92" s="50" t="s">
        <v>20</v>
      </c>
      <c r="F92" s="22"/>
      <c r="G92" s="67" t="s">
        <v>102</v>
      </c>
      <c r="H92" s="48">
        <v>1</v>
      </c>
      <c r="I92" s="68"/>
      <c r="J92" s="52"/>
      <c r="K92" s="26"/>
      <c r="L92" s="26"/>
      <c r="M92" s="62">
        <f t="shared" si="3"/>
        <v>0</v>
      </c>
      <c r="N92" s="40"/>
      <c r="O92" s="62"/>
      <c r="P92" s="62"/>
      <c r="Q92" s="69">
        <f t="shared" si="4"/>
        <v>0</v>
      </c>
    </row>
    <row r="93" spans="1:17" s="4" customFormat="1" x14ac:dyDescent="0.25">
      <c r="A93" s="66"/>
      <c r="B93" s="7" t="s">
        <v>60</v>
      </c>
      <c r="C93" s="48" t="s">
        <v>17</v>
      </c>
      <c r="D93" s="49"/>
      <c r="E93" s="50" t="s">
        <v>20</v>
      </c>
      <c r="F93" s="22"/>
      <c r="G93" s="23" t="s">
        <v>102</v>
      </c>
      <c r="H93" s="24"/>
      <c r="I93" s="25"/>
      <c r="J93" s="37"/>
      <c r="K93" s="26"/>
      <c r="L93" s="26"/>
      <c r="M93" s="62">
        <f t="shared" si="3"/>
        <v>0</v>
      </c>
      <c r="N93" s="40"/>
      <c r="O93" s="28"/>
      <c r="P93" s="28"/>
      <c r="Q93" s="69">
        <f t="shared" si="4"/>
        <v>0</v>
      </c>
    </row>
    <row r="94" spans="1:17" s="4" customFormat="1" x14ac:dyDescent="0.25">
      <c r="A94" s="66"/>
      <c r="B94" s="73" t="s">
        <v>137</v>
      </c>
      <c r="C94" s="48" t="s">
        <v>17</v>
      </c>
      <c r="D94" s="49"/>
      <c r="E94" s="50" t="s">
        <v>35</v>
      </c>
      <c r="F94" s="22"/>
      <c r="G94" s="67" t="s">
        <v>102</v>
      </c>
      <c r="H94" s="48">
        <v>1</v>
      </c>
      <c r="I94" s="68"/>
      <c r="J94" s="52"/>
      <c r="K94" s="26"/>
      <c r="L94" s="26"/>
      <c r="M94" s="62">
        <f t="shared" si="3"/>
        <v>0</v>
      </c>
      <c r="N94" s="43">
        <f>1</f>
        <v>1</v>
      </c>
      <c r="O94" s="62"/>
      <c r="P94" s="62"/>
      <c r="Q94" s="69">
        <f t="shared" si="4"/>
        <v>0</v>
      </c>
    </row>
    <row r="95" spans="1:17" s="3" customFormat="1" x14ac:dyDescent="0.25">
      <c r="A95" s="66"/>
      <c r="B95" s="11" t="s">
        <v>137</v>
      </c>
      <c r="C95" s="48" t="s">
        <v>17</v>
      </c>
      <c r="D95" s="49"/>
      <c r="E95" s="50" t="s">
        <v>27</v>
      </c>
      <c r="F95" s="22"/>
      <c r="G95" s="67" t="s">
        <v>107</v>
      </c>
      <c r="H95" s="48"/>
      <c r="I95" s="68"/>
      <c r="J95" s="37"/>
      <c r="K95" s="26"/>
      <c r="L95" s="26"/>
      <c r="M95" s="62">
        <f t="shared" si="3"/>
        <v>0</v>
      </c>
      <c r="N95" s="40"/>
      <c r="O95" s="26"/>
      <c r="P95" s="26"/>
      <c r="Q95" s="27">
        <f>O95-P95</f>
        <v>0</v>
      </c>
    </row>
    <row r="96" spans="1:17" s="3" customFormat="1" x14ac:dyDescent="0.25">
      <c r="A96" s="66"/>
      <c r="B96" s="7" t="s">
        <v>61</v>
      </c>
      <c r="C96" s="48" t="s">
        <v>17</v>
      </c>
      <c r="D96" s="49"/>
      <c r="E96" s="50" t="s">
        <v>35</v>
      </c>
      <c r="F96" s="22"/>
      <c r="G96" s="23" t="s">
        <v>102</v>
      </c>
      <c r="H96" s="24"/>
      <c r="I96" s="25"/>
      <c r="J96" s="37"/>
      <c r="K96" s="26"/>
      <c r="L96" s="26"/>
      <c r="M96" s="62">
        <f t="shared" si="3"/>
        <v>0</v>
      </c>
      <c r="N96" s="40">
        <f>2</f>
        <v>2</v>
      </c>
      <c r="O96" s="28"/>
      <c r="P96" s="28"/>
      <c r="Q96" s="27">
        <f t="shared" si="4"/>
        <v>0</v>
      </c>
    </row>
    <row r="97" spans="1:17" s="3" customFormat="1" x14ac:dyDescent="0.25">
      <c r="A97" s="66"/>
      <c r="B97" s="7" t="s">
        <v>61</v>
      </c>
      <c r="C97" s="48" t="s">
        <v>17</v>
      </c>
      <c r="D97" s="49"/>
      <c r="E97" s="50" t="s">
        <v>35</v>
      </c>
      <c r="F97" s="22"/>
      <c r="G97" s="67" t="s">
        <v>107</v>
      </c>
      <c r="H97" s="48"/>
      <c r="I97" s="68"/>
      <c r="J97" s="37"/>
      <c r="K97" s="26"/>
      <c r="L97" s="26"/>
      <c r="M97" s="62">
        <f t="shared" si="3"/>
        <v>0</v>
      </c>
      <c r="N97" s="40"/>
      <c r="O97" s="62"/>
      <c r="P97" s="62"/>
      <c r="Q97" s="69">
        <f t="shared" si="4"/>
        <v>0</v>
      </c>
    </row>
    <row r="98" spans="1:17" s="3" customFormat="1" x14ac:dyDescent="0.25">
      <c r="A98" s="66"/>
      <c r="B98" s="7" t="s">
        <v>130</v>
      </c>
      <c r="C98" s="48" t="s">
        <v>17</v>
      </c>
      <c r="D98" s="49"/>
      <c r="E98" s="50" t="s">
        <v>20</v>
      </c>
      <c r="F98" s="22"/>
      <c r="G98" s="23" t="s">
        <v>102</v>
      </c>
      <c r="H98" s="24"/>
      <c r="I98" s="29"/>
      <c r="J98" s="37"/>
      <c r="K98" s="26"/>
      <c r="L98" s="26"/>
      <c r="M98" s="62">
        <f t="shared" si="3"/>
        <v>0</v>
      </c>
      <c r="N98" s="40">
        <f>4</f>
        <v>4</v>
      </c>
      <c r="O98" s="28"/>
      <c r="P98" s="28"/>
      <c r="Q98" s="69">
        <f t="shared" si="4"/>
        <v>0</v>
      </c>
    </row>
    <row r="99" spans="1:17" s="3" customFormat="1" x14ac:dyDescent="0.25">
      <c r="A99" s="66"/>
      <c r="B99" s="7" t="s">
        <v>170</v>
      </c>
      <c r="C99" s="48"/>
      <c r="D99" s="49"/>
      <c r="E99" s="50"/>
      <c r="F99" s="22"/>
      <c r="G99" s="23" t="s">
        <v>104</v>
      </c>
      <c r="H99" s="24"/>
      <c r="I99" s="29"/>
      <c r="J99" s="37"/>
      <c r="K99" s="26"/>
      <c r="L99" s="26"/>
      <c r="M99" s="62">
        <f t="shared" si="3"/>
        <v>0</v>
      </c>
      <c r="N99" s="40"/>
      <c r="O99" s="28"/>
      <c r="P99" s="28"/>
      <c r="Q99" s="69"/>
    </row>
    <row r="100" spans="1:17" s="3" customFormat="1" ht="15.75" x14ac:dyDescent="0.25">
      <c r="A100" s="66"/>
      <c r="B100" s="7" t="s">
        <v>130</v>
      </c>
      <c r="C100" s="48" t="s">
        <v>17</v>
      </c>
      <c r="D100" s="49"/>
      <c r="E100" s="50" t="s">
        <v>20</v>
      </c>
      <c r="F100" s="22"/>
      <c r="G100" s="67" t="s">
        <v>104</v>
      </c>
      <c r="H100" s="1"/>
      <c r="I100" s="68"/>
      <c r="J100" s="52"/>
      <c r="K100" s="26"/>
      <c r="L100" s="26"/>
      <c r="M100" s="62">
        <f t="shared" si="3"/>
        <v>0</v>
      </c>
      <c r="N100" s="40"/>
      <c r="O100" s="62"/>
      <c r="P100" s="62"/>
      <c r="Q100" s="69">
        <f t="shared" si="4"/>
        <v>0</v>
      </c>
    </row>
    <row r="101" spans="1:17" s="3" customFormat="1" x14ac:dyDescent="0.25">
      <c r="A101" s="66"/>
      <c r="B101" s="8" t="s">
        <v>63</v>
      </c>
      <c r="C101" s="48" t="s">
        <v>17</v>
      </c>
      <c r="D101" s="49"/>
      <c r="E101" s="50" t="s">
        <v>21</v>
      </c>
      <c r="F101" s="22"/>
      <c r="G101" s="23" t="s">
        <v>102</v>
      </c>
      <c r="H101" s="24">
        <v>2</v>
      </c>
      <c r="I101" s="25"/>
      <c r="J101" s="37"/>
      <c r="K101" s="26"/>
      <c r="L101" s="26"/>
      <c r="M101" s="62">
        <f t="shared" si="3"/>
        <v>0</v>
      </c>
      <c r="N101" s="40">
        <f>5</f>
        <v>5</v>
      </c>
      <c r="O101" s="28"/>
      <c r="P101" s="28"/>
      <c r="Q101" s="69">
        <f t="shared" si="4"/>
        <v>0</v>
      </c>
    </row>
    <row r="102" spans="1:17" s="3" customFormat="1" x14ac:dyDescent="0.25">
      <c r="A102" s="66"/>
      <c r="B102" s="8" t="s">
        <v>63</v>
      </c>
      <c r="C102" s="48" t="s">
        <v>17</v>
      </c>
      <c r="D102" s="49"/>
      <c r="E102" s="50" t="s">
        <v>21</v>
      </c>
      <c r="F102" s="22"/>
      <c r="G102" s="67" t="s">
        <v>108</v>
      </c>
      <c r="H102" s="48"/>
      <c r="I102" s="68"/>
      <c r="J102" s="37"/>
      <c r="K102" s="26"/>
      <c r="L102" s="26"/>
      <c r="M102" s="62">
        <f t="shared" si="3"/>
        <v>0</v>
      </c>
      <c r="N102" s="40"/>
      <c r="O102" s="62"/>
      <c r="P102" s="62"/>
      <c r="Q102" s="27">
        <f t="shared" si="4"/>
        <v>0</v>
      </c>
    </row>
    <row r="103" spans="1:17" s="3" customFormat="1" x14ac:dyDescent="0.25">
      <c r="A103" s="66"/>
      <c r="B103" s="11" t="s">
        <v>116</v>
      </c>
      <c r="C103" s="48" t="s">
        <v>17</v>
      </c>
      <c r="D103" s="49"/>
      <c r="E103" s="54" t="s">
        <v>35</v>
      </c>
      <c r="F103" s="22"/>
      <c r="G103" s="23" t="s">
        <v>102</v>
      </c>
      <c r="H103" s="24">
        <v>1</v>
      </c>
      <c r="I103" s="25"/>
      <c r="J103" s="37"/>
      <c r="K103" s="26"/>
      <c r="L103" s="26"/>
      <c r="M103" s="62">
        <f t="shared" si="3"/>
        <v>0</v>
      </c>
      <c r="N103" s="40">
        <f>5+3</f>
        <v>8</v>
      </c>
      <c r="O103" s="28"/>
      <c r="P103" s="28"/>
      <c r="Q103" s="69">
        <f t="shared" si="4"/>
        <v>0</v>
      </c>
    </row>
    <row r="104" spans="1:17" s="3" customFormat="1" x14ac:dyDescent="0.25">
      <c r="A104" s="66"/>
      <c r="B104" s="11" t="s">
        <v>116</v>
      </c>
      <c r="C104" s="48" t="s">
        <v>17</v>
      </c>
      <c r="D104" s="49"/>
      <c r="E104" s="54" t="s">
        <v>35</v>
      </c>
      <c r="F104" s="22"/>
      <c r="G104" s="67" t="s">
        <v>107</v>
      </c>
      <c r="H104" s="48"/>
      <c r="I104" s="68"/>
      <c r="J104" s="52"/>
      <c r="K104" s="53"/>
      <c r="L104" s="53"/>
      <c r="M104" s="62">
        <f t="shared" si="3"/>
        <v>0</v>
      </c>
      <c r="N104" s="43"/>
      <c r="O104" s="62"/>
      <c r="P104" s="62"/>
      <c r="Q104" s="27">
        <f t="shared" si="4"/>
        <v>0</v>
      </c>
    </row>
    <row r="105" spans="1:17" s="3" customFormat="1" x14ac:dyDescent="0.25">
      <c r="A105" s="66"/>
      <c r="B105" s="8" t="s">
        <v>64</v>
      </c>
      <c r="C105" s="48" t="s">
        <v>17</v>
      </c>
      <c r="D105" s="49"/>
      <c r="E105" s="54" t="s">
        <v>21</v>
      </c>
      <c r="F105" s="22"/>
      <c r="G105" s="23" t="s">
        <v>102</v>
      </c>
      <c r="H105" s="24">
        <v>2</v>
      </c>
      <c r="I105" s="25"/>
      <c r="J105" s="37"/>
      <c r="K105" s="26"/>
      <c r="L105" s="26"/>
      <c r="M105" s="62">
        <f t="shared" si="3"/>
        <v>0</v>
      </c>
      <c r="N105" s="40">
        <f>4</f>
        <v>4</v>
      </c>
      <c r="O105" s="28"/>
      <c r="P105" s="28"/>
      <c r="Q105" s="69">
        <f t="shared" si="4"/>
        <v>0</v>
      </c>
    </row>
    <row r="106" spans="1:17" s="3" customFormat="1" x14ac:dyDescent="0.25">
      <c r="A106" s="66"/>
      <c r="B106" s="8" t="s">
        <v>64</v>
      </c>
      <c r="C106" s="48" t="s">
        <v>17</v>
      </c>
      <c r="D106" s="49"/>
      <c r="E106" s="54" t="s">
        <v>21</v>
      </c>
      <c r="F106" s="22"/>
      <c r="G106" s="67" t="s">
        <v>108</v>
      </c>
      <c r="H106" s="48">
        <v>1</v>
      </c>
      <c r="I106" s="68"/>
      <c r="J106" s="37"/>
      <c r="K106" s="26"/>
      <c r="L106" s="26"/>
      <c r="M106" s="62">
        <f t="shared" si="3"/>
        <v>0</v>
      </c>
      <c r="N106" s="40">
        <v>1</v>
      </c>
      <c r="O106" s="62"/>
      <c r="P106" s="62"/>
      <c r="Q106" s="27">
        <f t="shared" si="4"/>
        <v>0</v>
      </c>
    </row>
    <row r="107" spans="1:17" s="3" customFormat="1" x14ac:dyDescent="0.25">
      <c r="A107" s="66"/>
      <c r="B107" s="8" t="s">
        <v>65</v>
      </c>
      <c r="C107" s="48" t="s">
        <v>17</v>
      </c>
      <c r="D107" s="49"/>
      <c r="E107" s="54" t="s">
        <v>32</v>
      </c>
      <c r="F107" s="22"/>
      <c r="G107" s="23" t="s">
        <v>102</v>
      </c>
      <c r="H107" s="24"/>
      <c r="I107" s="25"/>
      <c r="J107" s="37"/>
      <c r="K107" s="26"/>
      <c r="L107" s="26"/>
      <c r="M107" s="62">
        <f t="shared" si="3"/>
        <v>0</v>
      </c>
      <c r="N107" s="40">
        <f>2</f>
        <v>2</v>
      </c>
      <c r="O107" s="28"/>
      <c r="P107" s="28"/>
      <c r="Q107" s="69">
        <f t="shared" si="4"/>
        <v>0</v>
      </c>
    </row>
    <row r="108" spans="1:17" s="3" customFormat="1" x14ac:dyDescent="0.25">
      <c r="A108" s="66"/>
      <c r="B108" s="8" t="s">
        <v>65</v>
      </c>
      <c r="C108" s="48" t="s">
        <v>17</v>
      </c>
      <c r="D108" s="49"/>
      <c r="E108" s="54" t="s">
        <v>32</v>
      </c>
      <c r="F108" s="22"/>
      <c r="G108" s="72" t="s">
        <v>107</v>
      </c>
      <c r="H108" s="48"/>
      <c r="I108" s="68"/>
      <c r="J108" s="37"/>
      <c r="K108" s="26"/>
      <c r="L108" s="26"/>
      <c r="M108" s="62">
        <f t="shared" si="3"/>
        <v>0</v>
      </c>
      <c r="N108" s="40"/>
      <c r="O108" s="26"/>
      <c r="P108" s="26"/>
      <c r="Q108" s="27">
        <f t="shared" si="4"/>
        <v>0</v>
      </c>
    </row>
    <row r="109" spans="1:17" s="4" customFormat="1" x14ac:dyDescent="0.25">
      <c r="A109" s="66"/>
      <c r="B109" s="7" t="s">
        <v>66</v>
      </c>
      <c r="C109" s="48" t="s">
        <v>17</v>
      </c>
      <c r="D109" s="49"/>
      <c r="E109" s="50" t="s">
        <v>20</v>
      </c>
      <c r="F109" s="22"/>
      <c r="G109" s="23" t="s">
        <v>102</v>
      </c>
      <c r="H109" s="24">
        <v>1</v>
      </c>
      <c r="I109" s="25"/>
      <c r="J109" s="37"/>
      <c r="K109" s="26"/>
      <c r="L109" s="26"/>
      <c r="M109" s="62">
        <f t="shared" si="3"/>
        <v>0</v>
      </c>
      <c r="N109" s="40"/>
      <c r="O109" s="26"/>
      <c r="P109" s="26"/>
      <c r="Q109" s="69">
        <f t="shared" si="4"/>
        <v>0</v>
      </c>
    </row>
    <row r="110" spans="1:17" s="4" customFormat="1" x14ac:dyDescent="0.25">
      <c r="A110" s="66"/>
      <c r="B110" s="73" t="s">
        <v>163</v>
      </c>
      <c r="C110" s="48" t="s">
        <v>17</v>
      </c>
      <c r="D110" s="49"/>
      <c r="E110" s="50" t="s">
        <v>20</v>
      </c>
      <c r="F110" s="22"/>
      <c r="G110" s="23" t="s">
        <v>102</v>
      </c>
      <c r="H110" s="24"/>
      <c r="I110" s="25"/>
      <c r="J110" s="37"/>
      <c r="K110" s="26"/>
      <c r="L110" s="26"/>
      <c r="M110" s="62">
        <f t="shared" si="3"/>
        <v>0</v>
      </c>
      <c r="N110" s="40"/>
      <c r="O110" s="26"/>
      <c r="P110" s="26"/>
      <c r="Q110" s="69">
        <f t="shared" si="4"/>
        <v>0</v>
      </c>
    </row>
    <row r="111" spans="1:17" s="4" customFormat="1" x14ac:dyDescent="0.25">
      <c r="A111" s="66"/>
      <c r="B111" s="73" t="s">
        <v>163</v>
      </c>
      <c r="C111" s="48" t="s">
        <v>17</v>
      </c>
      <c r="D111" s="49"/>
      <c r="E111" s="50" t="s">
        <v>32</v>
      </c>
      <c r="F111" s="22"/>
      <c r="G111" s="72" t="s">
        <v>107</v>
      </c>
      <c r="H111" s="24"/>
      <c r="I111" s="25"/>
      <c r="J111" s="37"/>
      <c r="K111" s="26"/>
      <c r="L111" s="26"/>
      <c r="M111" s="62">
        <f t="shared" si="3"/>
        <v>0</v>
      </c>
      <c r="N111" s="40"/>
      <c r="O111" s="26"/>
      <c r="P111" s="26"/>
      <c r="Q111" s="69">
        <f t="shared" si="4"/>
        <v>0</v>
      </c>
    </row>
    <row r="112" spans="1:17" s="3" customFormat="1" x14ac:dyDescent="0.25">
      <c r="A112" s="66"/>
      <c r="B112" s="11" t="s">
        <v>67</v>
      </c>
      <c r="C112" s="48" t="s">
        <v>17</v>
      </c>
      <c r="D112" s="49"/>
      <c r="E112" s="50" t="s">
        <v>20</v>
      </c>
      <c r="F112" s="22"/>
      <c r="G112" s="23" t="s">
        <v>102</v>
      </c>
      <c r="H112" s="24">
        <v>1</v>
      </c>
      <c r="I112" s="25"/>
      <c r="J112" s="37"/>
      <c r="K112" s="26"/>
      <c r="L112" s="26"/>
      <c r="M112" s="62">
        <f t="shared" si="3"/>
        <v>0</v>
      </c>
      <c r="N112" s="40"/>
      <c r="O112" s="28"/>
      <c r="P112" s="28"/>
      <c r="Q112" s="27">
        <f t="shared" si="4"/>
        <v>0</v>
      </c>
    </row>
    <row r="113" spans="1:17" s="3" customFormat="1" x14ac:dyDescent="0.25">
      <c r="A113" s="66"/>
      <c r="B113" s="11" t="s">
        <v>67</v>
      </c>
      <c r="C113" s="48" t="s">
        <v>17</v>
      </c>
      <c r="D113" s="49"/>
      <c r="E113" s="50" t="s">
        <v>20</v>
      </c>
      <c r="F113" s="22"/>
      <c r="G113" s="67" t="s">
        <v>104</v>
      </c>
      <c r="H113" s="48"/>
      <c r="I113" s="68"/>
      <c r="J113" s="52"/>
      <c r="K113" s="26"/>
      <c r="L113" s="26"/>
      <c r="M113" s="62">
        <f t="shared" si="3"/>
        <v>0</v>
      </c>
      <c r="N113" s="40"/>
      <c r="O113" s="62"/>
      <c r="P113" s="62"/>
      <c r="Q113" s="69">
        <f t="shared" si="4"/>
        <v>0</v>
      </c>
    </row>
    <row r="114" spans="1:17" s="4" customFormat="1" x14ac:dyDescent="0.25">
      <c r="A114" s="66"/>
      <c r="B114" s="11" t="s">
        <v>68</v>
      </c>
      <c r="C114" s="48" t="s">
        <v>17</v>
      </c>
      <c r="D114" s="49"/>
      <c r="E114" s="50" t="s">
        <v>32</v>
      </c>
      <c r="F114" s="22"/>
      <c r="G114" s="23" t="s">
        <v>102</v>
      </c>
      <c r="H114" s="24"/>
      <c r="I114" s="25"/>
      <c r="J114" s="37"/>
      <c r="K114" s="26"/>
      <c r="L114" s="26"/>
      <c r="M114" s="62">
        <f t="shared" si="3"/>
        <v>0</v>
      </c>
      <c r="N114" s="40">
        <f>1</f>
        <v>1</v>
      </c>
      <c r="O114" s="28"/>
      <c r="P114" s="28"/>
      <c r="Q114" s="27">
        <f t="shared" si="4"/>
        <v>0</v>
      </c>
    </row>
    <row r="115" spans="1:17" s="4" customFormat="1" x14ac:dyDescent="0.25">
      <c r="A115" s="66"/>
      <c r="B115" s="11" t="s">
        <v>68</v>
      </c>
      <c r="C115" s="48" t="s">
        <v>17</v>
      </c>
      <c r="D115" s="49"/>
      <c r="E115" s="50" t="s">
        <v>32</v>
      </c>
      <c r="F115" s="22"/>
      <c r="G115" s="67" t="s">
        <v>105</v>
      </c>
      <c r="H115" s="48">
        <v>1</v>
      </c>
      <c r="I115" s="68"/>
      <c r="J115" s="37"/>
      <c r="K115" s="74"/>
      <c r="L115" s="74"/>
      <c r="M115" s="62">
        <f t="shared" si="3"/>
        <v>0</v>
      </c>
      <c r="N115" s="43"/>
      <c r="O115" s="26"/>
      <c r="P115" s="26"/>
      <c r="Q115" s="69">
        <f t="shared" si="4"/>
        <v>0</v>
      </c>
    </row>
    <row r="116" spans="1:17" s="3" customFormat="1" x14ac:dyDescent="0.25">
      <c r="A116" s="66"/>
      <c r="B116" s="11" t="s">
        <v>143</v>
      </c>
      <c r="C116" s="48" t="s">
        <v>17</v>
      </c>
      <c r="D116" s="49"/>
      <c r="E116" s="50" t="s">
        <v>20</v>
      </c>
      <c r="F116" s="22"/>
      <c r="G116" s="23" t="s">
        <v>102</v>
      </c>
      <c r="H116" s="24">
        <v>1</v>
      </c>
      <c r="I116" s="25"/>
      <c r="J116" s="37"/>
      <c r="K116" s="26"/>
      <c r="L116" s="26"/>
      <c r="M116" s="62">
        <f t="shared" si="3"/>
        <v>0</v>
      </c>
      <c r="N116" s="40">
        <f>4</f>
        <v>4</v>
      </c>
      <c r="O116" s="26"/>
      <c r="P116" s="26"/>
      <c r="Q116" s="27">
        <f>O116-P116</f>
        <v>0</v>
      </c>
    </row>
    <row r="117" spans="1:17" s="4" customFormat="1" x14ac:dyDescent="0.25">
      <c r="A117" s="66"/>
      <c r="B117" s="11" t="s">
        <v>125</v>
      </c>
      <c r="C117" s="48" t="s">
        <v>17</v>
      </c>
      <c r="D117" s="49"/>
      <c r="E117" s="50" t="s">
        <v>35</v>
      </c>
      <c r="F117" s="22"/>
      <c r="G117" s="23" t="s">
        <v>102</v>
      </c>
      <c r="H117" s="24"/>
      <c r="I117" s="25"/>
      <c r="J117" s="37"/>
      <c r="K117" s="26"/>
      <c r="L117" s="26"/>
      <c r="M117" s="62">
        <f t="shared" si="3"/>
        <v>0</v>
      </c>
      <c r="N117" s="43">
        <f>3+2</f>
        <v>5</v>
      </c>
      <c r="O117" s="26"/>
      <c r="P117" s="26"/>
      <c r="Q117" s="27">
        <f t="shared" si="4"/>
        <v>0</v>
      </c>
    </row>
    <row r="118" spans="1:17" s="4" customFormat="1" x14ac:dyDescent="0.25">
      <c r="A118" s="66"/>
      <c r="B118" s="70" t="s">
        <v>125</v>
      </c>
      <c r="C118" s="48" t="s">
        <v>17</v>
      </c>
      <c r="D118" s="49"/>
      <c r="E118" s="50" t="s">
        <v>32</v>
      </c>
      <c r="F118" s="22"/>
      <c r="G118" s="67" t="s">
        <v>107</v>
      </c>
      <c r="H118" s="48"/>
      <c r="I118" s="68"/>
      <c r="J118" s="37"/>
      <c r="K118" s="26"/>
      <c r="L118" s="26"/>
      <c r="M118" s="62">
        <f t="shared" si="3"/>
        <v>0</v>
      </c>
      <c r="N118" s="40"/>
      <c r="O118" s="26"/>
      <c r="P118" s="26"/>
      <c r="Q118" s="69">
        <f t="shared" si="4"/>
        <v>0</v>
      </c>
    </row>
    <row r="119" spans="1:17" s="3" customFormat="1" x14ac:dyDescent="0.25">
      <c r="A119" s="66"/>
      <c r="B119" s="8" t="s">
        <v>69</v>
      </c>
      <c r="C119" s="48" t="s">
        <v>17</v>
      </c>
      <c r="D119" s="49"/>
      <c r="E119" s="50" t="s">
        <v>21</v>
      </c>
      <c r="F119" s="22"/>
      <c r="G119" s="23" t="s">
        <v>102</v>
      </c>
      <c r="H119" s="24"/>
      <c r="I119" s="25"/>
      <c r="J119" s="37"/>
      <c r="K119" s="26"/>
      <c r="L119" s="26"/>
      <c r="M119" s="62">
        <f t="shared" si="3"/>
        <v>0</v>
      </c>
      <c r="N119" s="40">
        <f>1</f>
        <v>1</v>
      </c>
      <c r="O119" s="28"/>
      <c r="P119" s="28"/>
      <c r="Q119" s="27">
        <f t="shared" si="4"/>
        <v>0</v>
      </c>
    </row>
    <row r="120" spans="1:17" s="3" customFormat="1" x14ac:dyDescent="0.25">
      <c r="A120" s="66"/>
      <c r="B120" s="8" t="s">
        <v>69</v>
      </c>
      <c r="C120" s="48" t="s">
        <v>17</v>
      </c>
      <c r="D120" s="49"/>
      <c r="E120" s="50" t="s">
        <v>21</v>
      </c>
      <c r="F120" s="22"/>
      <c r="G120" s="67" t="s">
        <v>108</v>
      </c>
      <c r="H120" s="48"/>
      <c r="I120" s="68"/>
      <c r="J120" s="37"/>
      <c r="K120" s="26"/>
      <c r="L120" s="26"/>
      <c r="M120" s="62">
        <f t="shared" si="3"/>
        <v>0</v>
      </c>
      <c r="N120" s="40"/>
      <c r="O120" s="62"/>
      <c r="P120" s="62"/>
      <c r="Q120" s="69">
        <f t="shared" si="4"/>
        <v>0</v>
      </c>
    </row>
    <row r="121" spans="1:17" s="4" customFormat="1" x14ac:dyDescent="0.25">
      <c r="A121" s="66"/>
      <c r="B121" s="8" t="s">
        <v>70</v>
      </c>
      <c r="C121" s="48" t="s">
        <v>17</v>
      </c>
      <c r="D121" s="49"/>
      <c r="E121" s="50" t="s">
        <v>71</v>
      </c>
      <c r="F121" s="22"/>
      <c r="G121" s="23" t="s">
        <v>102</v>
      </c>
      <c r="H121" s="24">
        <v>3</v>
      </c>
      <c r="I121" s="25"/>
      <c r="J121" s="37"/>
      <c r="K121" s="26"/>
      <c r="L121" s="26"/>
      <c r="M121" s="62">
        <f t="shared" si="3"/>
        <v>0</v>
      </c>
      <c r="N121" s="40"/>
      <c r="O121" s="28"/>
      <c r="P121" s="28"/>
      <c r="Q121" s="27">
        <f t="shared" si="4"/>
        <v>0</v>
      </c>
    </row>
    <row r="122" spans="1:17" s="4" customFormat="1" x14ac:dyDescent="0.25">
      <c r="A122" s="66"/>
      <c r="B122" s="8" t="s">
        <v>70</v>
      </c>
      <c r="C122" s="48" t="s">
        <v>17</v>
      </c>
      <c r="D122" s="49"/>
      <c r="E122" s="50" t="s">
        <v>71</v>
      </c>
      <c r="F122" s="22"/>
      <c r="G122" s="67" t="s">
        <v>104</v>
      </c>
      <c r="H122" s="48"/>
      <c r="I122" s="68"/>
      <c r="J122" s="52"/>
      <c r="K122" s="26"/>
      <c r="L122" s="26"/>
      <c r="M122" s="62">
        <f t="shared" si="3"/>
        <v>0</v>
      </c>
      <c r="N122" s="40"/>
      <c r="O122" s="62"/>
      <c r="P122" s="62"/>
      <c r="Q122" s="69">
        <f t="shared" si="4"/>
        <v>0</v>
      </c>
    </row>
    <row r="123" spans="1:17" s="3" customFormat="1" x14ac:dyDescent="0.25">
      <c r="A123" s="66"/>
      <c r="B123" s="8" t="s">
        <v>115</v>
      </c>
      <c r="C123" s="48" t="s">
        <v>17</v>
      </c>
      <c r="D123" s="49"/>
      <c r="E123" s="54" t="s">
        <v>35</v>
      </c>
      <c r="F123" s="22"/>
      <c r="G123" s="23" t="s">
        <v>102</v>
      </c>
      <c r="H123" s="24"/>
      <c r="I123" s="25"/>
      <c r="J123" s="37"/>
      <c r="K123" s="26"/>
      <c r="L123" s="26"/>
      <c r="M123" s="62">
        <f t="shared" si="3"/>
        <v>0</v>
      </c>
      <c r="N123" s="40"/>
      <c r="O123" s="28"/>
      <c r="P123" s="28"/>
      <c r="Q123" s="69">
        <f t="shared" si="4"/>
        <v>0</v>
      </c>
    </row>
    <row r="124" spans="1:17" s="3" customFormat="1" x14ac:dyDescent="0.25">
      <c r="A124" s="66"/>
      <c r="B124" s="8" t="s">
        <v>115</v>
      </c>
      <c r="C124" s="48" t="s">
        <v>17</v>
      </c>
      <c r="D124" s="49"/>
      <c r="E124" s="54" t="s">
        <v>35</v>
      </c>
      <c r="F124" s="22"/>
      <c r="G124" s="67" t="s">
        <v>105</v>
      </c>
      <c r="H124" s="48"/>
      <c r="I124" s="68"/>
      <c r="J124" s="37"/>
      <c r="K124" s="26"/>
      <c r="L124" s="26"/>
      <c r="M124" s="62">
        <f t="shared" si="3"/>
        <v>0</v>
      </c>
      <c r="N124" s="40"/>
      <c r="O124" s="62"/>
      <c r="P124" s="62"/>
      <c r="Q124" s="27">
        <f t="shared" si="4"/>
        <v>0</v>
      </c>
    </row>
    <row r="125" spans="1:17" s="3" customFormat="1" x14ac:dyDescent="0.25">
      <c r="A125" s="66"/>
      <c r="B125" s="8" t="s">
        <v>120</v>
      </c>
      <c r="C125" s="48" t="s">
        <v>17</v>
      </c>
      <c r="D125" s="49"/>
      <c r="E125" s="54" t="s">
        <v>20</v>
      </c>
      <c r="F125" s="22"/>
      <c r="G125" s="23" t="s">
        <v>102</v>
      </c>
      <c r="H125" s="24"/>
      <c r="I125" s="29"/>
      <c r="J125" s="37"/>
      <c r="K125" s="26"/>
      <c r="L125" s="26"/>
      <c r="M125" s="62">
        <f t="shared" si="3"/>
        <v>0</v>
      </c>
      <c r="N125" s="40">
        <f>1</f>
        <v>1</v>
      </c>
      <c r="O125" s="28"/>
      <c r="P125" s="28"/>
      <c r="Q125" s="69">
        <f t="shared" si="4"/>
        <v>0</v>
      </c>
    </row>
    <row r="126" spans="1:17" s="3" customFormat="1" x14ac:dyDescent="0.25">
      <c r="A126" s="66"/>
      <c r="B126" s="8" t="s">
        <v>120</v>
      </c>
      <c r="C126" s="48" t="s">
        <v>17</v>
      </c>
      <c r="D126" s="49"/>
      <c r="E126" s="54" t="s">
        <v>20</v>
      </c>
      <c r="F126" s="22"/>
      <c r="G126" s="67" t="s">
        <v>104</v>
      </c>
      <c r="H126" s="48">
        <v>1</v>
      </c>
      <c r="I126" s="68"/>
      <c r="J126" s="52"/>
      <c r="K126" s="26"/>
      <c r="L126" s="26"/>
      <c r="M126" s="62">
        <f t="shared" si="3"/>
        <v>0</v>
      </c>
      <c r="N126" s="40"/>
      <c r="O126" s="62"/>
      <c r="P126" s="62"/>
      <c r="Q126" s="69">
        <f t="shared" si="4"/>
        <v>0</v>
      </c>
    </row>
    <row r="127" spans="1:17" s="3" customFormat="1" x14ac:dyDescent="0.25">
      <c r="A127" s="66"/>
      <c r="B127" s="11" t="s">
        <v>72</v>
      </c>
      <c r="C127" s="48" t="s">
        <v>17</v>
      </c>
      <c r="D127" s="49"/>
      <c r="E127" s="50" t="s">
        <v>20</v>
      </c>
      <c r="F127" s="22"/>
      <c r="G127" s="23" t="s">
        <v>102</v>
      </c>
      <c r="H127" s="24">
        <v>3</v>
      </c>
      <c r="I127" s="25"/>
      <c r="J127" s="37"/>
      <c r="K127" s="26"/>
      <c r="L127" s="26"/>
      <c r="M127" s="62">
        <f t="shared" si="3"/>
        <v>0</v>
      </c>
      <c r="N127" s="40">
        <f>2</f>
        <v>2</v>
      </c>
      <c r="O127" s="28"/>
      <c r="P127" s="28"/>
      <c r="Q127" s="69">
        <f t="shared" si="4"/>
        <v>0</v>
      </c>
    </row>
    <row r="128" spans="1:17" s="3" customFormat="1" x14ac:dyDescent="0.25">
      <c r="A128" s="66"/>
      <c r="B128" s="11" t="s">
        <v>72</v>
      </c>
      <c r="C128" s="48" t="s">
        <v>17</v>
      </c>
      <c r="D128" s="49"/>
      <c r="E128" s="50" t="s">
        <v>20</v>
      </c>
      <c r="F128" s="22"/>
      <c r="G128" s="67" t="s">
        <v>104</v>
      </c>
      <c r="H128" s="48"/>
      <c r="I128" s="68"/>
      <c r="J128" s="52"/>
      <c r="K128" s="26"/>
      <c r="L128" s="26"/>
      <c r="M128" s="62">
        <f t="shared" si="3"/>
        <v>0</v>
      </c>
      <c r="N128" s="40"/>
      <c r="O128" s="62"/>
      <c r="P128" s="62"/>
      <c r="Q128" s="69">
        <f t="shared" si="4"/>
        <v>0</v>
      </c>
    </row>
    <row r="129" spans="1:17" s="3" customFormat="1" x14ac:dyDescent="0.25">
      <c r="A129" s="66"/>
      <c r="B129" s="8" t="s">
        <v>73</v>
      </c>
      <c r="C129" s="48" t="s">
        <v>17</v>
      </c>
      <c r="D129" s="49"/>
      <c r="E129" s="50" t="s">
        <v>32</v>
      </c>
      <c r="F129" s="22"/>
      <c r="G129" s="23" t="s">
        <v>102</v>
      </c>
      <c r="H129" s="24"/>
      <c r="I129" s="25"/>
      <c r="J129" s="37"/>
      <c r="K129" s="26"/>
      <c r="L129" s="26"/>
      <c r="M129" s="62">
        <f t="shared" si="3"/>
        <v>0</v>
      </c>
      <c r="N129" s="40">
        <f>4</f>
        <v>4</v>
      </c>
      <c r="O129" s="28"/>
      <c r="P129" s="28"/>
      <c r="Q129" s="69">
        <f t="shared" si="4"/>
        <v>0</v>
      </c>
    </row>
    <row r="130" spans="1:17" s="3" customFormat="1" x14ac:dyDescent="0.25">
      <c r="A130" s="66"/>
      <c r="B130" s="8" t="s">
        <v>73</v>
      </c>
      <c r="C130" s="48" t="s">
        <v>17</v>
      </c>
      <c r="D130" s="49"/>
      <c r="E130" s="50" t="s">
        <v>32</v>
      </c>
      <c r="F130" s="22"/>
      <c r="G130" s="67" t="s">
        <v>107</v>
      </c>
      <c r="H130" s="48"/>
      <c r="I130" s="68"/>
      <c r="J130" s="37"/>
      <c r="K130" s="26"/>
      <c r="L130" s="26"/>
      <c r="M130" s="62">
        <f t="shared" si="3"/>
        <v>0</v>
      </c>
      <c r="N130" s="40"/>
      <c r="O130" s="62"/>
      <c r="P130" s="62"/>
      <c r="Q130" s="27">
        <f t="shared" si="4"/>
        <v>0</v>
      </c>
    </row>
    <row r="131" spans="1:17" s="3" customFormat="1" x14ac:dyDescent="0.25">
      <c r="A131" s="66"/>
      <c r="B131" s="8" t="s">
        <v>144</v>
      </c>
      <c r="C131" s="48" t="s">
        <v>17</v>
      </c>
      <c r="D131" s="49"/>
      <c r="E131" s="50" t="s">
        <v>21</v>
      </c>
      <c r="F131" s="22"/>
      <c r="G131" s="67" t="s">
        <v>102</v>
      </c>
      <c r="H131" s="48"/>
      <c r="I131" s="68"/>
      <c r="J131" s="37"/>
      <c r="K131" s="26"/>
      <c r="L131" s="26"/>
      <c r="M131" s="62">
        <f t="shared" si="3"/>
        <v>0</v>
      </c>
      <c r="N131" s="40"/>
      <c r="O131" s="62"/>
      <c r="P131" s="62"/>
      <c r="Q131" s="27">
        <f t="shared" si="4"/>
        <v>0</v>
      </c>
    </row>
    <row r="132" spans="1:17" s="3" customFormat="1" ht="30" x14ac:dyDescent="0.25">
      <c r="A132" s="66"/>
      <c r="B132" s="11" t="s">
        <v>74</v>
      </c>
      <c r="C132" s="48" t="s">
        <v>135</v>
      </c>
      <c r="D132" s="49" t="s">
        <v>146</v>
      </c>
      <c r="E132" s="50" t="s">
        <v>18</v>
      </c>
      <c r="F132" s="22"/>
      <c r="G132" s="23" t="s">
        <v>102</v>
      </c>
      <c r="H132" s="24">
        <v>1</v>
      </c>
      <c r="I132" s="25"/>
      <c r="J132" s="38"/>
      <c r="K132" s="26"/>
      <c r="L132" s="26"/>
      <c r="M132" s="62">
        <f t="shared" si="3"/>
        <v>0</v>
      </c>
      <c r="N132" s="40"/>
      <c r="O132" s="28"/>
      <c r="P132" s="28"/>
      <c r="Q132" s="69">
        <f t="shared" si="4"/>
        <v>0</v>
      </c>
    </row>
    <row r="133" spans="1:17" s="3" customFormat="1" ht="30" x14ac:dyDescent="0.25">
      <c r="A133" s="66"/>
      <c r="B133" s="11" t="s">
        <v>74</v>
      </c>
      <c r="C133" s="48" t="s">
        <v>135</v>
      </c>
      <c r="D133" s="49" t="s">
        <v>155</v>
      </c>
      <c r="E133" s="50" t="s">
        <v>18</v>
      </c>
      <c r="F133" s="22"/>
      <c r="G133" s="80" t="s">
        <v>106</v>
      </c>
      <c r="H133" s="48">
        <v>1</v>
      </c>
      <c r="I133" s="71"/>
      <c r="J133" s="38"/>
      <c r="K133" s="62"/>
      <c r="L133" s="62"/>
      <c r="M133" s="62">
        <f t="shared" si="3"/>
        <v>0</v>
      </c>
      <c r="N133" s="40"/>
      <c r="O133" s="62"/>
      <c r="P133" s="62"/>
      <c r="Q133" s="27">
        <f t="shared" si="4"/>
        <v>0</v>
      </c>
    </row>
    <row r="134" spans="1:17" s="3" customFormat="1" x14ac:dyDescent="0.25">
      <c r="A134" s="66"/>
      <c r="B134" s="11" t="s">
        <v>126</v>
      </c>
      <c r="C134" s="48" t="s">
        <v>17</v>
      </c>
      <c r="D134" s="49"/>
      <c r="E134" s="50" t="s">
        <v>32</v>
      </c>
      <c r="F134" s="22"/>
      <c r="G134" s="23" t="s">
        <v>102</v>
      </c>
      <c r="H134" s="24"/>
      <c r="I134" s="29"/>
      <c r="J134" s="37"/>
      <c r="K134" s="28"/>
      <c r="L134" s="28"/>
      <c r="M134" s="62">
        <f t="shared" si="3"/>
        <v>0</v>
      </c>
      <c r="N134" s="40">
        <f>3</f>
        <v>3</v>
      </c>
      <c r="O134" s="28"/>
      <c r="P134" s="28"/>
      <c r="Q134" s="69">
        <f t="shared" si="4"/>
        <v>0</v>
      </c>
    </row>
    <row r="135" spans="1:17" s="3" customFormat="1" x14ac:dyDescent="0.25">
      <c r="A135" s="66"/>
      <c r="B135" s="11" t="s">
        <v>126</v>
      </c>
      <c r="C135" s="48" t="s">
        <v>17</v>
      </c>
      <c r="D135" s="49"/>
      <c r="E135" s="50" t="s">
        <v>32</v>
      </c>
      <c r="F135" s="22"/>
      <c r="G135" s="67" t="s">
        <v>107</v>
      </c>
      <c r="H135" s="48"/>
      <c r="I135" s="68"/>
      <c r="J135" s="37"/>
      <c r="K135" s="26"/>
      <c r="L135" s="26"/>
      <c r="M135" s="62">
        <f t="shared" si="3"/>
        <v>0</v>
      </c>
      <c r="N135" s="40"/>
      <c r="O135" s="62"/>
      <c r="P135" s="62"/>
      <c r="Q135" s="27">
        <f t="shared" si="4"/>
        <v>0</v>
      </c>
    </row>
    <row r="136" spans="1:17" s="3" customFormat="1" x14ac:dyDescent="0.25">
      <c r="A136" s="66"/>
      <c r="B136" s="11" t="s">
        <v>75</v>
      </c>
      <c r="C136" s="48" t="s">
        <v>17</v>
      </c>
      <c r="D136" s="49"/>
      <c r="E136" s="50" t="s">
        <v>76</v>
      </c>
      <c r="F136" s="22"/>
      <c r="G136" s="23" t="s">
        <v>102</v>
      </c>
      <c r="H136" s="24"/>
      <c r="I136" s="25"/>
      <c r="J136" s="37"/>
      <c r="K136" s="26"/>
      <c r="L136" s="26"/>
      <c r="M136" s="62">
        <f t="shared" si="3"/>
        <v>0</v>
      </c>
      <c r="N136" s="40"/>
      <c r="O136" s="28"/>
      <c r="P136" s="28"/>
      <c r="Q136" s="69">
        <f t="shared" si="4"/>
        <v>0</v>
      </c>
    </row>
    <row r="137" spans="1:17" s="3" customFormat="1" x14ac:dyDescent="0.25">
      <c r="A137" s="66"/>
      <c r="B137" s="11" t="s">
        <v>75</v>
      </c>
      <c r="C137" s="48" t="s">
        <v>17</v>
      </c>
      <c r="D137" s="49"/>
      <c r="E137" s="50" t="s">
        <v>76</v>
      </c>
      <c r="F137" s="22"/>
      <c r="G137" s="67" t="s">
        <v>104</v>
      </c>
      <c r="H137" s="48"/>
      <c r="I137" s="68"/>
      <c r="J137" s="52"/>
      <c r="K137" s="26"/>
      <c r="L137" s="26"/>
      <c r="M137" s="62">
        <f t="shared" si="3"/>
        <v>0</v>
      </c>
      <c r="N137" s="40"/>
      <c r="O137" s="62"/>
      <c r="P137" s="62"/>
      <c r="Q137" s="69">
        <f t="shared" si="4"/>
        <v>0</v>
      </c>
    </row>
    <row r="138" spans="1:17" s="3" customFormat="1" x14ac:dyDescent="0.25">
      <c r="A138" s="66"/>
      <c r="B138" s="8" t="s">
        <v>77</v>
      </c>
      <c r="C138" s="48" t="s">
        <v>17</v>
      </c>
      <c r="D138" s="49"/>
      <c r="E138" s="50" t="s">
        <v>20</v>
      </c>
      <c r="F138" s="22"/>
      <c r="G138" s="23" t="s">
        <v>102</v>
      </c>
      <c r="H138" s="24"/>
      <c r="I138" s="25"/>
      <c r="J138" s="37"/>
      <c r="K138" s="26"/>
      <c r="L138" s="26"/>
      <c r="M138" s="62">
        <f t="shared" si="3"/>
        <v>0</v>
      </c>
      <c r="N138" s="40">
        <f>3</f>
        <v>3</v>
      </c>
      <c r="O138" s="28"/>
      <c r="P138" s="28"/>
      <c r="Q138" s="69">
        <f t="shared" si="4"/>
        <v>0</v>
      </c>
    </row>
    <row r="139" spans="1:17" s="3" customFormat="1" x14ac:dyDescent="0.25">
      <c r="A139" s="66"/>
      <c r="B139" s="8" t="s">
        <v>77</v>
      </c>
      <c r="C139" s="48" t="s">
        <v>17</v>
      </c>
      <c r="D139" s="49"/>
      <c r="E139" s="50" t="s">
        <v>20</v>
      </c>
      <c r="F139" s="22"/>
      <c r="G139" s="67" t="s">
        <v>104</v>
      </c>
      <c r="H139" s="48"/>
      <c r="I139" s="68"/>
      <c r="J139" s="52"/>
      <c r="K139" s="26"/>
      <c r="L139" s="26"/>
      <c r="M139" s="62">
        <f t="shared" si="3"/>
        <v>0</v>
      </c>
      <c r="N139" s="40"/>
      <c r="O139" s="62"/>
      <c r="P139" s="62"/>
      <c r="Q139" s="69">
        <f t="shared" si="4"/>
        <v>0</v>
      </c>
    </row>
    <row r="140" spans="1:17" s="3" customFormat="1" x14ac:dyDescent="0.25">
      <c r="A140" s="66"/>
      <c r="B140" s="8" t="s">
        <v>138</v>
      </c>
      <c r="C140" s="48" t="s">
        <v>17</v>
      </c>
      <c r="D140" s="49"/>
      <c r="E140" s="50" t="s">
        <v>20</v>
      </c>
      <c r="F140" s="22"/>
      <c r="G140" s="67" t="s">
        <v>102</v>
      </c>
      <c r="H140" s="48"/>
      <c r="I140" s="68"/>
      <c r="J140" s="52"/>
      <c r="K140" s="26"/>
      <c r="L140" s="26"/>
      <c r="M140" s="62">
        <f t="shared" ref="M140:M194" si="5">K140-L140</f>
        <v>0</v>
      </c>
      <c r="N140" s="40">
        <f>2</f>
        <v>2</v>
      </c>
      <c r="O140" s="62"/>
      <c r="P140" s="62"/>
      <c r="Q140" s="69">
        <f t="shared" si="4"/>
        <v>0</v>
      </c>
    </row>
    <row r="141" spans="1:17" s="3" customFormat="1" x14ac:dyDescent="0.25">
      <c r="A141" s="66"/>
      <c r="B141" s="8" t="s">
        <v>127</v>
      </c>
      <c r="C141" s="48" t="s">
        <v>17</v>
      </c>
      <c r="D141" s="49"/>
      <c r="E141" s="50" t="s">
        <v>35</v>
      </c>
      <c r="F141" s="22"/>
      <c r="G141" s="23" t="s">
        <v>102</v>
      </c>
      <c r="H141" s="24"/>
      <c r="I141" s="25"/>
      <c r="J141" s="37"/>
      <c r="K141" s="26"/>
      <c r="L141" s="26"/>
      <c r="M141" s="62">
        <f t="shared" si="5"/>
        <v>0</v>
      </c>
      <c r="N141" s="40"/>
      <c r="O141" s="28"/>
      <c r="P141" s="28"/>
      <c r="Q141" s="69">
        <f t="shared" si="4"/>
        <v>0</v>
      </c>
    </row>
    <row r="142" spans="1:17" s="3" customFormat="1" x14ac:dyDescent="0.25">
      <c r="A142" s="66"/>
      <c r="B142" s="8" t="s">
        <v>78</v>
      </c>
      <c r="C142" s="48" t="s">
        <v>17</v>
      </c>
      <c r="D142" s="49"/>
      <c r="E142" s="50" t="s">
        <v>20</v>
      </c>
      <c r="F142" s="22"/>
      <c r="G142" s="23" t="s">
        <v>102</v>
      </c>
      <c r="H142" s="24"/>
      <c r="I142" s="25"/>
      <c r="J142" s="37"/>
      <c r="K142" s="26"/>
      <c r="L142" s="26"/>
      <c r="M142" s="62">
        <f t="shared" si="5"/>
        <v>0</v>
      </c>
      <c r="N142" s="40"/>
      <c r="O142" s="28"/>
      <c r="P142" s="28"/>
      <c r="Q142" s="69">
        <f t="shared" si="4"/>
        <v>0</v>
      </c>
    </row>
    <row r="143" spans="1:17" s="3" customFormat="1" x14ac:dyDescent="0.25">
      <c r="A143" s="66"/>
      <c r="B143" s="8" t="s">
        <v>78</v>
      </c>
      <c r="C143" s="48" t="s">
        <v>17</v>
      </c>
      <c r="D143" s="49"/>
      <c r="E143" s="50" t="s">
        <v>20</v>
      </c>
      <c r="F143" s="22"/>
      <c r="G143" s="67" t="s">
        <v>104</v>
      </c>
      <c r="H143" s="48">
        <v>1</v>
      </c>
      <c r="I143" s="68"/>
      <c r="J143" s="52"/>
      <c r="K143" s="26"/>
      <c r="L143" s="26"/>
      <c r="M143" s="62">
        <f t="shared" si="5"/>
        <v>0</v>
      </c>
      <c r="N143" s="40"/>
      <c r="O143" s="62"/>
      <c r="P143" s="62"/>
      <c r="Q143" s="69">
        <f t="shared" si="4"/>
        <v>0</v>
      </c>
    </row>
    <row r="144" spans="1:17" s="3" customFormat="1" ht="45" x14ac:dyDescent="0.25">
      <c r="A144" s="66"/>
      <c r="B144" s="8" t="s">
        <v>79</v>
      </c>
      <c r="C144" s="48" t="s">
        <v>135</v>
      </c>
      <c r="D144" s="49" t="s">
        <v>149</v>
      </c>
      <c r="E144" s="50" t="s">
        <v>20</v>
      </c>
      <c r="F144" s="22"/>
      <c r="G144" s="23" t="s">
        <v>102</v>
      </c>
      <c r="H144" s="24"/>
      <c r="I144" s="25"/>
      <c r="J144" s="38"/>
      <c r="K144" s="26"/>
      <c r="L144" s="26"/>
      <c r="M144" s="62">
        <f t="shared" si="5"/>
        <v>0</v>
      </c>
      <c r="N144" s="40"/>
      <c r="O144" s="28"/>
      <c r="P144" s="28"/>
      <c r="Q144" s="27">
        <f t="shared" si="4"/>
        <v>0</v>
      </c>
    </row>
    <row r="145" spans="1:17" s="3" customFormat="1" x14ac:dyDescent="0.25">
      <c r="A145" s="66"/>
      <c r="B145" s="7" t="s">
        <v>80</v>
      </c>
      <c r="C145" s="48" t="s">
        <v>17</v>
      </c>
      <c r="D145" s="49"/>
      <c r="E145" s="54" t="s">
        <v>20</v>
      </c>
      <c r="F145" s="22"/>
      <c r="G145" s="23" t="s">
        <v>102</v>
      </c>
      <c r="H145" s="24">
        <v>1</v>
      </c>
      <c r="I145" s="25"/>
      <c r="J145" s="37"/>
      <c r="K145" s="26"/>
      <c r="L145" s="26"/>
      <c r="M145" s="62">
        <f t="shared" si="5"/>
        <v>0</v>
      </c>
      <c r="N145" s="40"/>
      <c r="O145" s="28"/>
      <c r="P145" s="28"/>
      <c r="Q145" s="69">
        <f t="shared" si="4"/>
        <v>0</v>
      </c>
    </row>
    <row r="146" spans="1:17" s="3" customFormat="1" x14ac:dyDescent="0.25">
      <c r="A146" s="66"/>
      <c r="B146" s="7" t="s">
        <v>80</v>
      </c>
      <c r="C146" s="48" t="s">
        <v>17</v>
      </c>
      <c r="D146" s="49"/>
      <c r="E146" s="54" t="s">
        <v>20</v>
      </c>
      <c r="F146" s="22"/>
      <c r="G146" s="67" t="s">
        <v>104</v>
      </c>
      <c r="H146" s="48">
        <v>1</v>
      </c>
      <c r="I146" s="68"/>
      <c r="J146" s="52"/>
      <c r="K146" s="26"/>
      <c r="L146" s="26"/>
      <c r="M146" s="62">
        <f t="shared" si="5"/>
        <v>0</v>
      </c>
      <c r="N146" s="40"/>
      <c r="O146" s="62"/>
      <c r="P146" s="62"/>
      <c r="Q146" s="69">
        <f t="shared" si="4"/>
        <v>0</v>
      </c>
    </row>
    <row r="147" spans="1:17" s="3" customFormat="1" x14ac:dyDescent="0.25">
      <c r="A147" s="66"/>
      <c r="B147" s="7" t="s">
        <v>81</v>
      </c>
      <c r="C147" s="48" t="s">
        <v>17</v>
      </c>
      <c r="D147" s="49"/>
      <c r="E147" s="54" t="s">
        <v>20</v>
      </c>
      <c r="F147" s="22"/>
      <c r="G147" s="85" t="s">
        <v>102</v>
      </c>
      <c r="H147" s="48">
        <v>1</v>
      </c>
      <c r="I147" s="68"/>
      <c r="J147" s="52"/>
      <c r="K147" s="26"/>
      <c r="L147" s="26"/>
      <c r="M147" s="62">
        <f t="shared" si="5"/>
        <v>0</v>
      </c>
      <c r="N147" s="40"/>
      <c r="O147" s="62"/>
      <c r="P147" s="62"/>
      <c r="Q147" s="69"/>
    </row>
    <row r="148" spans="1:17" s="3" customFormat="1" x14ac:dyDescent="0.25">
      <c r="A148" s="66"/>
      <c r="B148" s="11" t="s">
        <v>139</v>
      </c>
      <c r="C148" s="48" t="s">
        <v>17</v>
      </c>
      <c r="D148" s="49"/>
      <c r="E148" s="54" t="s">
        <v>20</v>
      </c>
      <c r="F148" s="22"/>
      <c r="G148" s="23" t="s">
        <v>102</v>
      </c>
      <c r="H148" s="24"/>
      <c r="I148" s="25"/>
      <c r="J148" s="37"/>
      <c r="K148" s="26"/>
      <c r="L148" s="26"/>
      <c r="M148" s="62">
        <f t="shared" si="5"/>
        <v>0</v>
      </c>
      <c r="N148" s="40"/>
      <c r="O148" s="28"/>
      <c r="P148" s="28"/>
      <c r="Q148" s="69">
        <f t="shared" si="4"/>
        <v>0</v>
      </c>
    </row>
    <row r="149" spans="1:17" s="3" customFormat="1" x14ac:dyDescent="0.25">
      <c r="A149" s="66"/>
      <c r="B149" s="11" t="s">
        <v>139</v>
      </c>
      <c r="C149" s="48"/>
      <c r="D149" s="49"/>
      <c r="E149" s="54"/>
      <c r="F149" s="22"/>
      <c r="G149" s="23" t="s">
        <v>104</v>
      </c>
      <c r="H149" s="24"/>
      <c r="I149" s="25"/>
      <c r="J149" s="37"/>
      <c r="K149" s="26"/>
      <c r="L149" s="26"/>
      <c r="M149" s="62">
        <f t="shared" si="5"/>
        <v>0</v>
      </c>
      <c r="N149" s="40"/>
      <c r="O149" s="28"/>
      <c r="P149" s="28"/>
      <c r="Q149" s="69"/>
    </row>
    <row r="150" spans="1:17" s="3" customFormat="1" x14ac:dyDescent="0.25">
      <c r="A150" s="66"/>
      <c r="B150" s="11" t="s">
        <v>161</v>
      </c>
      <c r="C150" s="48" t="s">
        <v>17</v>
      </c>
      <c r="D150" s="49"/>
      <c r="E150" s="54" t="s">
        <v>20</v>
      </c>
      <c r="F150" s="22"/>
      <c r="G150" s="23" t="s">
        <v>102</v>
      </c>
      <c r="H150" s="24"/>
      <c r="I150" s="25"/>
      <c r="J150" s="37"/>
      <c r="K150" s="26"/>
      <c r="L150" s="26"/>
      <c r="M150" s="62">
        <f t="shared" si="5"/>
        <v>0</v>
      </c>
      <c r="N150" s="40"/>
      <c r="O150" s="28"/>
      <c r="P150" s="28"/>
      <c r="Q150" s="69">
        <f t="shared" ref="Q150:Q195" si="6">O150-P150</f>
        <v>0</v>
      </c>
    </row>
    <row r="151" spans="1:17" s="3" customFormat="1" x14ac:dyDescent="0.25">
      <c r="A151" s="66"/>
      <c r="B151" s="11" t="s">
        <v>161</v>
      </c>
      <c r="C151" s="48" t="s">
        <v>17</v>
      </c>
      <c r="D151" s="49"/>
      <c r="E151" s="54" t="s">
        <v>20</v>
      </c>
      <c r="F151" s="22"/>
      <c r="G151" s="23" t="s">
        <v>104</v>
      </c>
      <c r="H151" s="24"/>
      <c r="I151" s="25"/>
      <c r="J151" s="37"/>
      <c r="K151" s="26"/>
      <c r="L151" s="26"/>
      <c r="M151" s="62">
        <f t="shared" si="5"/>
        <v>0</v>
      </c>
      <c r="N151" s="40"/>
      <c r="O151" s="28"/>
      <c r="P151" s="28"/>
      <c r="Q151" s="69">
        <f t="shared" si="6"/>
        <v>0</v>
      </c>
    </row>
    <row r="152" spans="1:17" s="3" customFormat="1" x14ac:dyDescent="0.25">
      <c r="A152" s="66"/>
      <c r="B152" s="11" t="s">
        <v>168</v>
      </c>
      <c r="C152" s="48"/>
      <c r="D152" s="49"/>
      <c r="E152" s="54"/>
      <c r="F152" s="22"/>
      <c r="G152" s="23" t="s">
        <v>102</v>
      </c>
      <c r="H152" s="24">
        <v>1</v>
      </c>
      <c r="I152" s="25"/>
      <c r="J152" s="37"/>
      <c r="K152" s="26"/>
      <c r="L152" s="26"/>
      <c r="M152" s="62">
        <f t="shared" si="5"/>
        <v>0</v>
      </c>
      <c r="N152" s="40"/>
      <c r="O152" s="28"/>
      <c r="P152" s="28"/>
      <c r="Q152" s="69"/>
    </row>
    <row r="153" spans="1:17" s="3" customFormat="1" x14ac:dyDescent="0.25">
      <c r="A153" s="66"/>
      <c r="B153" s="11" t="s">
        <v>168</v>
      </c>
      <c r="C153" s="48"/>
      <c r="D153" s="49"/>
      <c r="E153" s="54"/>
      <c r="F153" s="22"/>
      <c r="G153" s="23" t="s">
        <v>106</v>
      </c>
      <c r="H153" s="24"/>
      <c r="I153" s="25"/>
      <c r="J153" s="37"/>
      <c r="K153" s="26"/>
      <c r="L153" s="26"/>
      <c r="M153" s="62">
        <f t="shared" si="5"/>
        <v>0</v>
      </c>
      <c r="N153" s="40"/>
      <c r="O153" s="28"/>
      <c r="P153" s="28"/>
      <c r="Q153" s="69"/>
    </row>
    <row r="154" spans="1:17" s="3" customFormat="1" x14ac:dyDescent="0.25">
      <c r="A154" s="66"/>
      <c r="B154" s="8" t="s">
        <v>82</v>
      </c>
      <c r="C154" s="48" t="s">
        <v>17</v>
      </c>
      <c r="D154" s="49"/>
      <c r="E154" s="50" t="s">
        <v>83</v>
      </c>
      <c r="F154" s="22"/>
      <c r="G154" s="23" t="s">
        <v>102</v>
      </c>
      <c r="H154" s="24">
        <v>10</v>
      </c>
      <c r="I154" s="25"/>
      <c r="J154" s="37"/>
      <c r="K154" s="26"/>
      <c r="L154" s="26"/>
      <c r="M154" s="62">
        <f t="shared" si="5"/>
        <v>0</v>
      </c>
      <c r="N154" s="40">
        <f>8</f>
        <v>8</v>
      </c>
      <c r="O154" s="28"/>
      <c r="P154" s="28"/>
      <c r="Q154" s="27">
        <f t="shared" si="6"/>
        <v>0</v>
      </c>
    </row>
    <row r="155" spans="1:17" s="3" customFormat="1" x14ac:dyDescent="0.25">
      <c r="A155" s="66"/>
      <c r="B155" s="8" t="s">
        <v>82</v>
      </c>
      <c r="C155" s="48" t="s">
        <v>17</v>
      </c>
      <c r="D155" s="49"/>
      <c r="E155" s="50" t="s">
        <v>83</v>
      </c>
      <c r="F155" s="22"/>
      <c r="G155" s="67" t="s">
        <v>108</v>
      </c>
      <c r="H155" s="48"/>
      <c r="I155" s="68"/>
      <c r="J155" s="37"/>
      <c r="K155" s="26"/>
      <c r="L155" s="26"/>
      <c r="M155" s="62">
        <f t="shared" si="5"/>
        <v>0</v>
      </c>
      <c r="N155" s="40"/>
      <c r="O155" s="62"/>
      <c r="P155" s="62"/>
      <c r="Q155" s="69">
        <f t="shared" si="6"/>
        <v>0</v>
      </c>
    </row>
    <row r="156" spans="1:17" s="3" customFormat="1" x14ac:dyDescent="0.25">
      <c r="A156" s="66"/>
      <c r="B156" s="8" t="s">
        <v>82</v>
      </c>
      <c r="C156" s="48" t="s">
        <v>17</v>
      </c>
      <c r="D156" s="49"/>
      <c r="E156" s="54" t="s">
        <v>164</v>
      </c>
      <c r="F156" s="22"/>
      <c r="G156" s="67" t="s">
        <v>104</v>
      </c>
      <c r="H156" s="48"/>
      <c r="I156" s="68"/>
      <c r="J156" s="37"/>
      <c r="K156" s="26"/>
      <c r="L156" s="26"/>
      <c r="M156" s="62">
        <f t="shared" si="5"/>
        <v>0</v>
      </c>
      <c r="N156" s="40"/>
      <c r="O156" s="62"/>
      <c r="P156" s="62"/>
      <c r="Q156" s="69">
        <f t="shared" si="6"/>
        <v>0</v>
      </c>
    </row>
    <row r="157" spans="1:17" s="3" customFormat="1" x14ac:dyDescent="0.25">
      <c r="A157" s="66"/>
      <c r="B157" s="8" t="s">
        <v>84</v>
      </c>
      <c r="C157" s="48" t="s">
        <v>17</v>
      </c>
      <c r="D157" s="49"/>
      <c r="E157" s="54" t="s">
        <v>20</v>
      </c>
      <c r="F157" s="22"/>
      <c r="G157" s="23" t="s">
        <v>102</v>
      </c>
      <c r="H157" s="24"/>
      <c r="I157" s="25"/>
      <c r="J157" s="37"/>
      <c r="K157" s="26"/>
      <c r="L157" s="26"/>
      <c r="M157" s="62">
        <f t="shared" si="5"/>
        <v>0</v>
      </c>
      <c r="N157" s="40">
        <f>3</f>
        <v>3</v>
      </c>
      <c r="O157" s="28"/>
      <c r="P157" s="28"/>
      <c r="Q157" s="27">
        <f t="shared" si="6"/>
        <v>0</v>
      </c>
    </row>
    <row r="158" spans="1:17" s="3" customFormat="1" x14ac:dyDescent="0.25">
      <c r="A158" s="66"/>
      <c r="B158" s="8" t="s">
        <v>84</v>
      </c>
      <c r="C158" s="48" t="s">
        <v>17</v>
      </c>
      <c r="D158" s="49"/>
      <c r="E158" s="54" t="s">
        <v>20</v>
      </c>
      <c r="F158" s="22"/>
      <c r="G158" s="67" t="s">
        <v>104</v>
      </c>
      <c r="H158" s="48"/>
      <c r="I158" s="68"/>
      <c r="J158" s="52"/>
      <c r="K158" s="26"/>
      <c r="L158" s="26"/>
      <c r="M158" s="62">
        <f t="shared" si="5"/>
        <v>0</v>
      </c>
      <c r="N158" s="40"/>
      <c r="O158" s="62"/>
      <c r="P158" s="62"/>
      <c r="Q158" s="69">
        <f t="shared" si="6"/>
        <v>0</v>
      </c>
    </row>
    <row r="159" spans="1:17" s="3" customFormat="1" x14ac:dyDescent="0.25">
      <c r="A159" s="66"/>
      <c r="B159" s="8" t="s">
        <v>85</v>
      </c>
      <c r="C159" s="48" t="s">
        <v>17</v>
      </c>
      <c r="D159" s="49"/>
      <c r="E159" s="54" t="s">
        <v>20</v>
      </c>
      <c r="F159" s="22"/>
      <c r="G159" s="23" t="s">
        <v>102</v>
      </c>
      <c r="H159" s="24"/>
      <c r="I159" s="25"/>
      <c r="J159" s="37"/>
      <c r="K159" s="26"/>
      <c r="L159" s="26"/>
      <c r="M159" s="62">
        <f t="shared" si="5"/>
        <v>0</v>
      </c>
      <c r="N159" s="40"/>
      <c r="O159" s="28"/>
      <c r="P159" s="28"/>
      <c r="Q159" s="27">
        <f t="shared" si="6"/>
        <v>0</v>
      </c>
    </row>
    <row r="160" spans="1:17" s="3" customFormat="1" x14ac:dyDescent="0.25">
      <c r="A160" s="66"/>
      <c r="B160" s="11" t="s">
        <v>117</v>
      </c>
      <c r="C160" s="48" t="s">
        <v>17</v>
      </c>
      <c r="D160" s="49"/>
      <c r="E160" s="54" t="s">
        <v>20</v>
      </c>
      <c r="F160" s="22"/>
      <c r="G160" s="67" t="s">
        <v>104</v>
      </c>
      <c r="H160" s="48"/>
      <c r="I160" s="68"/>
      <c r="J160" s="52"/>
      <c r="K160" s="53"/>
      <c r="L160" s="53"/>
      <c r="M160" s="62">
        <f t="shared" si="5"/>
        <v>0</v>
      </c>
      <c r="N160" s="43"/>
      <c r="O160" s="62"/>
      <c r="P160" s="62"/>
      <c r="Q160" s="69">
        <f t="shared" si="6"/>
        <v>0</v>
      </c>
    </row>
    <row r="161" spans="1:17" s="3" customFormat="1" x14ac:dyDescent="0.25">
      <c r="A161" s="66"/>
      <c r="B161" s="11" t="s">
        <v>117</v>
      </c>
      <c r="C161" s="48" t="s">
        <v>17</v>
      </c>
      <c r="D161" s="49"/>
      <c r="E161" s="54" t="s">
        <v>20</v>
      </c>
      <c r="F161" s="22"/>
      <c r="G161" s="23" t="s">
        <v>102</v>
      </c>
      <c r="H161" s="24"/>
      <c r="I161" s="29"/>
      <c r="J161" s="37"/>
      <c r="K161" s="26"/>
      <c r="L161" s="26"/>
      <c r="M161" s="62">
        <f t="shared" si="5"/>
        <v>0</v>
      </c>
      <c r="N161" s="40">
        <f>2</f>
        <v>2</v>
      </c>
      <c r="O161" s="28"/>
      <c r="P161" s="28"/>
      <c r="Q161" s="27">
        <f t="shared" si="6"/>
        <v>0</v>
      </c>
    </row>
    <row r="162" spans="1:17" s="3" customFormat="1" x14ac:dyDescent="0.25">
      <c r="A162" s="66"/>
      <c r="B162" s="11" t="s">
        <v>132</v>
      </c>
      <c r="C162" s="48" t="s">
        <v>17</v>
      </c>
      <c r="D162" s="49"/>
      <c r="E162" s="54" t="s">
        <v>20</v>
      </c>
      <c r="F162" s="22"/>
      <c r="G162" s="23" t="s">
        <v>102</v>
      </c>
      <c r="H162" s="24"/>
      <c r="I162" s="29"/>
      <c r="J162" s="37"/>
      <c r="K162" s="26"/>
      <c r="L162" s="26"/>
      <c r="M162" s="62">
        <f t="shared" si="5"/>
        <v>0</v>
      </c>
      <c r="N162" s="40"/>
      <c r="O162" s="28"/>
      <c r="P162" s="28"/>
      <c r="Q162" s="69">
        <f t="shared" si="6"/>
        <v>0</v>
      </c>
    </row>
    <row r="163" spans="1:17" s="3" customFormat="1" x14ac:dyDescent="0.25">
      <c r="A163" s="66"/>
      <c r="B163" s="11" t="s">
        <v>166</v>
      </c>
      <c r="C163" s="48" t="s">
        <v>17</v>
      </c>
      <c r="D163" s="49"/>
      <c r="E163" s="54" t="s">
        <v>20</v>
      </c>
      <c r="F163" s="22"/>
      <c r="G163" s="23" t="s">
        <v>102</v>
      </c>
      <c r="H163" s="24"/>
      <c r="I163" s="29"/>
      <c r="J163" s="37"/>
      <c r="K163" s="26"/>
      <c r="L163" s="26"/>
      <c r="M163" s="62">
        <f t="shared" si="5"/>
        <v>0</v>
      </c>
      <c r="N163" s="40"/>
      <c r="O163" s="28"/>
      <c r="P163" s="28"/>
      <c r="Q163" s="69"/>
    </row>
    <row r="164" spans="1:17" s="4" customFormat="1" x14ac:dyDescent="0.25">
      <c r="A164" s="66"/>
      <c r="B164" s="11" t="s">
        <v>86</v>
      </c>
      <c r="C164" s="48" t="s">
        <v>17</v>
      </c>
      <c r="D164" s="49"/>
      <c r="E164" s="54" t="s">
        <v>20</v>
      </c>
      <c r="F164" s="22"/>
      <c r="G164" s="23" t="s">
        <v>102</v>
      </c>
      <c r="H164" s="24"/>
      <c r="I164" s="25"/>
      <c r="J164" s="37"/>
      <c r="K164" s="26"/>
      <c r="L164" s="26"/>
      <c r="M164" s="62">
        <f t="shared" si="5"/>
        <v>0</v>
      </c>
      <c r="N164" s="40"/>
      <c r="O164" s="28"/>
      <c r="P164" s="28"/>
      <c r="Q164" s="69">
        <f t="shared" si="6"/>
        <v>0</v>
      </c>
    </row>
    <row r="165" spans="1:17" s="4" customFormat="1" x14ac:dyDescent="0.25">
      <c r="A165" s="66"/>
      <c r="B165" s="11" t="s">
        <v>86</v>
      </c>
      <c r="C165" s="48" t="s">
        <v>17</v>
      </c>
      <c r="D165" s="49"/>
      <c r="E165" s="54" t="s">
        <v>20</v>
      </c>
      <c r="F165" s="22"/>
      <c r="G165" s="67" t="s">
        <v>104</v>
      </c>
      <c r="H165" s="48"/>
      <c r="I165" s="68"/>
      <c r="J165" s="52"/>
      <c r="K165" s="26"/>
      <c r="L165" s="26"/>
      <c r="M165" s="62">
        <f t="shared" si="5"/>
        <v>0</v>
      </c>
      <c r="N165" s="43"/>
      <c r="O165" s="62"/>
      <c r="P165" s="62"/>
      <c r="Q165" s="69">
        <f t="shared" si="6"/>
        <v>0</v>
      </c>
    </row>
    <row r="166" spans="1:17" s="4" customFormat="1" x14ac:dyDescent="0.25">
      <c r="A166" s="66"/>
      <c r="B166" s="11" t="s">
        <v>173</v>
      </c>
      <c r="C166" s="48"/>
      <c r="D166" s="49"/>
      <c r="E166" s="54"/>
      <c r="F166" s="22"/>
      <c r="G166" s="96" t="s">
        <v>102</v>
      </c>
      <c r="H166" s="48">
        <v>1</v>
      </c>
      <c r="I166" s="68"/>
      <c r="J166" s="52"/>
      <c r="K166" s="26"/>
      <c r="L166" s="26"/>
      <c r="M166" s="62"/>
      <c r="N166" s="43"/>
      <c r="O166" s="62"/>
      <c r="P166" s="62"/>
      <c r="Q166" s="69"/>
    </row>
    <row r="167" spans="1:17" s="3" customFormat="1" x14ac:dyDescent="0.25">
      <c r="A167" s="66"/>
      <c r="B167" s="8" t="s">
        <v>89</v>
      </c>
      <c r="C167" s="48" t="s">
        <v>17</v>
      </c>
      <c r="D167" s="49"/>
      <c r="E167" s="54" t="s">
        <v>20</v>
      </c>
      <c r="F167" s="22"/>
      <c r="G167" s="23" t="s">
        <v>102</v>
      </c>
      <c r="H167" s="24">
        <v>1</v>
      </c>
      <c r="I167" s="25"/>
      <c r="J167" s="37"/>
      <c r="K167" s="26"/>
      <c r="L167" s="26"/>
      <c r="M167" s="62">
        <f t="shared" si="5"/>
        <v>0</v>
      </c>
      <c r="N167" s="40">
        <f>3</f>
        <v>3</v>
      </c>
      <c r="O167" s="28"/>
      <c r="P167" s="28"/>
      <c r="Q167" s="27">
        <f t="shared" si="6"/>
        <v>0</v>
      </c>
    </row>
    <row r="168" spans="1:17" s="3" customFormat="1" x14ac:dyDescent="0.25">
      <c r="A168" s="66"/>
      <c r="B168" s="8" t="s">
        <v>89</v>
      </c>
      <c r="C168" s="48" t="s">
        <v>17</v>
      </c>
      <c r="D168" s="49"/>
      <c r="E168" s="54" t="s">
        <v>20</v>
      </c>
      <c r="F168" s="22"/>
      <c r="G168" s="67" t="s">
        <v>104</v>
      </c>
      <c r="H168" s="48">
        <v>1</v>
      </c>
      <c r="I168" s="68"/>
      <c r="J168" s="52"/>
      <c r="K168" s="26"/>
      <c r="L168" s="26"/>
      <c r="M168" s="62">
        <f t="shared" si="5"/>
        <v>0</v>
      </c>
      <c r="N168" s="40"/>
      <c r="O168" s="62"/>
      <c r="P168" s="62"/>
      <c r="Q168" s="69">
        <f t="shared" si="6"/>
        <v>0</v>
      </c>
    </row>
    <row r="169" spans="1:17" s="3" customFormat="1" x14ac:dyDescent="0.25">
      <c r="A169" s="66"/>
      <c r="B169" s="8" t="s">
        <v>90</v>
      </c>
      <c r="C169" s="48" t="s">
        <v>17</v>
      </c>
      <c r="D169" s="49"/>
      <c r="E169" s="54" t="s">
        <v>91</v>
      </c>
      <c r="F169" s="22"/>
      <c r="G169" s="23" t="s">
        <v>102</v>
      </c>
      <c r="H169" s="24"/>
      <c r="I169" s="25"/>
      <c r="J169" s="37"/>
      <c r="K169" s="26"/>
      <c r="L169" s="26"/>
      <c r="M169" s="62">
        <f t="shared" si="5"/>
        <v>0</v>
      </c>
      <c r="N169" s="95"/>
      <c r="O169" s="26"/>
      <c r="P169" s="26"/>
      <c r="Q169" s="27">
        <f t="shared" si="6"/>
        <v>0</v>
      </c>
    </row>
    <row r="170" spans="1:17" s="3" customFormat="1" x14ac:dyDescent="0.25">
      <c r="A170" s="66"/>
      <c r="B170" s="8" t="s">
        <v>90</v>
      </c>
      <c r="C170" s="48" t="s">
        <v>17</v>
      </c>
      <c r="D170" s="49"/>
      <c r="E170" s="54" t="s">
        <v>91</v>
      </c>
      <c r="F170" s="22"/>
      <c r="G170" s="67" t="s">
        <v>104</v>
      </c>
      <c r="H170" s="48"/>
      <c r="I170" s="68"/>
      <c r="J170" s="52"/>
      <c r="K170" s="26"/>
      <c r="L170" s="26"/>
      <c r="M170" s="62">
        <f t="shared" si="5"/>
        <v>0</v>
      </c>
      <c r="N170" s="40"/>
      <c r="O170" s="62"/>
      <c r="P170" s="62"/>
      <c r="Q170" s="69">
        <f t="shared" si="6"/>
        <v>0</v>
      </c>
    </row>
    <row r="171" spans="1:17" s="3" customFormat="1" x14ac:dyDescent="0.25">
      <c r="A171" s="66"/>
      <c r="B171" s="8" t="s">
        <v>92</v>
      </c>
      <c r="C171" s="48" t="s">
        <v>17</v>
      </c>
      <c r="D171" s="49"/>
      <c r="E171" s="54" t="s">
        <v>35</v>
      </c>
      <c r="F171" s="22"/>
      <c r="G171" s="23" t="s">
        <v>102</v>
      </c>
      <c r="H171" s="24">
        <v>2</v>
      </c>
      <c r="I171" s="25"/>
      <c r="J171" s="37"/>
      <c r="K171" s="26"/>
      <c r="L171" s="26"/>
      <c r="M171" s="62">
        <f t="shared" si="5"/>
        <v>0</v>
      </c>
      <c r="N171" s="40">
        <f>10+3</f>
        <v>13</v>
      </c>
      <c r="O171" s="28"/>
      <c r="P171" s="28"/>
      <c r="Q171" s="27">
        <f t="shared" si="6"/>
        <v>0</v>
      </c>
    </row>
    <row r="172" spans="1:17" s="3" customFormat="1" x14ac:dyDescent="0.25">
      <c r="A172" s="66"/>
      <c r="B172" s="8" t="s">
        <v>92</v>
      </c>
      <c r="C172" s="48" t="s">
        <v>17</v>
      </c>
      <c r="D172" s="49"/>
      <c r="E172" s="54" t="s">
        <v>35</v>
      </c>
      <c r="F172" s="22"/>
      <c r="G172" s="72" t="s">
        <v>107</v>
      </c>
      <c r="H172" s="48"/>
      <c r="I172" s="68"/>
      <c r="J172" s="37"/>
      <c r="K172" s="26"/>
      <c r="L172" s="26"/>
      <c r="M172" s="62">
        <f t="shared" si="5"/>
        <v>0</v>
      </c>
      <c r="N172" s="40"/>
      <c r="O172" s="26"/>
      <c r="P172" s="26"/>
      <c r="Q172" s="69">
        <f t="shared" si="6"/>
        <v>0</v>
      </c>
    </row>
    <row r="173" spans="1:17" s="3" customFormat="1" x14ac:dyDescent="0.25">
      <c r="A173" s="66"/>
      <c r="B173" s="8" t="s">
        <v>156</v>
      </c>
      <c r="C173" s="48" t="s">
        <v>17</v>
      </c>
      <c r="D173" s="49"/>
      <c r="E173" s="54" t="s">
        <v>91</v>
      </c>
      <c r="F173" s="22"/>
      <c r="G173" s="72" t="s">
        <v>102</v>
      </c>
      <c r="H173" s="48"/>
      <c r="I173" s="68"/>
      <c r="J173" s="37"/>
      <c r="K173" s="26"/>
      <c r="L173" s="26"/>
      <c r="M173" s="62">
        <f t="shared" si="5"/>
        <v>0</v>
      </c>
      <c r="N173" s="40"/>
      <c r="O173" s="26"/>
      <c r="P173" s="26"/>
      <c r="Q173" s="69"/>
    </row>
    <row r="174" spans="1:17" s="4" customFormat="1" x14ac:dyDescent="0.25">
      <c r="A174" s="66"/>
      <c r="B174" s="8" t="s">
        <v>93</v>
      </c>
      <c r="C174" s="48" t="s">
        <v>17</v>
      </c>
      <c r="D174" s="49"/>
      <c r="E174" s="50" t="s">
        <v>32</v>
      </c>
      <c r="F174" s="22"/>
      <c r="G174" s="23" t="s">
        <v>102</v>
      </c>
      <c r="H174" s="24"/>
      <c r="I174" s="25"/>
      <c r="J174" s="37"/>
      <c r="K174" s="26"/>
      <c r="L174" s="26"/>
      <c r="M174" s="62">
        <f t="shared" si="5"/>
        <v>0</v>
      </c>
      <c r="N174" s="40"/>
      <c r="O174" s="28"/>
      <c r="P174" s="28"/>
      <c r="Q174" s="27">
        <f t="shared" si="6"/>
        <v>0</v>
      </c>
    </row>
    <row r="175" spans="1:17" s="4" customFormat="1" x14ac:dyDescent="0.25">
      <c r="A175" s="66"/>
      <c r="B175" s="8" t="s">
        <v>93</v>
      </c>
      <c r="C175" s="48" t="s">
        <v>17</v>
      </c>
      <c r="D175" s="49"/>
      <c r="E175" s="50" t="s">
        <v>32</v>
      </c>
      <c r="F175" s="22"/>
      <c r="G175" s="72" t="s">
        <v>107</v>
      </c>
      <c r="H175" s="48"/>
      <c r="I175" s="68"/>
      <c r="J175" s="52"/>
      <c r="K175" s="26"/>
      <c r="L175" s="26"/>
      <c r="M175" s="62">
        <f t="shared" si="5"/>
        <v>0</v>
      </c>
      <c r="N175" s="43"/>
      <c r="O175" s="26"/>
      <c r="P175" s="26"/>
      <c r="Q175" s="69">
        <f t="shared" si="6"/>
        <v>0</v>
      </c>
    </row>
    <row r="176" spans="1:17" s="4" customFormat="1" ht="30" x14ac:dyDescent="0.25">
      <c r="A176" s="66"/>
      <c r="B176" s="8" t="s">
        <v>119</v>
      </c>
      <c r="C176" s="48" t="s">
        <v>135</v>
      </c>
      <c r="D176" s="49" t="s">
        <v>140</v>
      </c>
      <c r="E176" s="54" t="s">
        <v>91</v>
      </c>
      <c r="F176" s="22"/>
      <c r="G176" s="15" t="s">
        <v>102</v>
      </c>
      <c r="H176" s="24">
        <v>2</v>
      </c>
      <c r="I176" s="25"/>
      <c r="J176" s="38">
        <f>1</f>
        <v>1</v>
      </c>
      <c r="K176" s="26"/>
      <c r="L176" s="26"/>
      <c r="M176" s="62">
        <f t="shared" si="5"/>
        <v>0</v>
      </c>
      <c r="N176" s="40">
        <f>7</f>
        <v>7</v>
      </c>
      <c r="O176" s="26"/>
      <c r="P176" s="26"/>
      <c r="Q176" s="27">
        <f t="shared" si="6"/>
        <v>0</v>
      </c>
    </row>
    <row r="177" spans="1:17" s="4" customFormat="1" x14ac:dyDescent="0.25">
      <c r="A177" s="66"/>
      <c r="B177" s="8" t="s">
        <v>156</v>
      </c>
      <c r="C177" s="48"/>
      <c r="D177" s="49"/>
      <c r="E177" s="54"/>
      <c r="F177" s="22"/>
      <c r="G177" s="15" t="s">
        <v>104</v>
      </c>
      <c r="H177" s="24"/>
      <c r="I177" s="25"/>
      <c r="J177" s="38"/>
      <c r="K177" s="26"/>
      <c r="L177" s="26"/>
      <c r="M177" s="62">
        <f t="shared" si="5"/>
        <v>0</v>
      </c>
      <c r="N177" s="40"/>
      <c r="O177" s="26"/>
      <c r="P177" s="26"/>
      <c r="Q177" s="69">
        <f t="shared" si="6"/>
        <v>0</v>
      </c>
    </row>
    <row r="178" spans="1:17" s="4" customFormat="1" x14ac:dyDescent="0.25">
      <c r="A178" s="66"/>
      <c r="B178" s="8" t="s">
        <v>173</v>
      </c>
      <c r="C178" s="48"/>
      <c r="D178" s="49"/>
      <c r="E178" s="54" t="s">
        <v>18</v>
      </c>
      <c r="F178" s="22"/>
      <c r="G178" s="15" t="s">
        <v>106</v>
      </c>
      <c r="H178" s="24">
        <v>1</v>
      </c>
      <c r="I178" s="25"/>
      <c r="J178" s="38"/>
      <c r="K178" s="26"/>
      <c r="L178" s="26"/>
      <c r="M178" s="62">
        <f t="shared" si="5"/>
        <v>0</v>
      </c>
      <c r="N178" s="40"/>
      <c r="O178" s="26"/>
      <c r="P178" s="26"/>
      <c r="Q178" s="69"/>
    </row>
    <row r="179" spans="1:17" s="4" customFormat="1" x14ac:dyDescent="0.25">
      <c r="A179" s="66"/>
      <c r="B179" s="8" t="s">
        <v>156</v>
      </c>
      <c r="C179" s="48"/>
      <c r="D179" s="49"/>
      <c r="E179" s="54"/>
      <c r="F179" s="22"/>
      <c r="G179" s="15" t="s">
        <v>106</v>
      </c>
      <c r="H179" s="24"/>
      <c r="I179" s="25"/>
      <c r="J179" s="38"/>
      <c r="K179" s="26"/>
      <c r="L179" s="26"/>
      <c r="M179" s="62">
        <f t="shared" si="5"/>
        <v>0</v>
      </c>
      <c r="N179" s="40"/>
      <c r="O179" s="26"/>
      <c r="P179" s="26"/>
      <c r="Q179" s="27"/>
    </row>
    <row r="180" spans="1:17" s="4" customFormat="1" ht="30" x14ac:dyDescent="0.25">
      <c r="A180" s="66"/>
      <c r="B180" s="75" t="s">
        <v>119</v>
      </c>
      <c r="C180" s="48" t="s">
        <v>152</v>
      </c>
      <c r="D180" s="49" t="s">
        <v>140</v>
      </c>
      <c r="E180" s="50" t="s">
        <v>20</v>
      </c>
      <c r="F180" s="22"/>
      <c r="G180" s="72" t="s">
        <v>104</v>
      </c>
      <c r="H180" s="48">
        <v>5</v>
      </c>
      <c r="I180" s="71"/>
      <c r="J180" s="55"/>
      <c r="K180" s="26"/>
      <c r="L180" s="26"/>
      <c r="M180" s="62">
        <f t="shared" si="5"/>
        <v>0</v>
      </c>
      <c r="N180" s="40"/>
      <c r="O180" s="62"/>
      <c r="P180" s="62"/>
      <c r="Q180" s="69">
        <f t="shared" ref="Q180" si="7">O180-P180</f>
        <v>0</v>
      </c>
    </row>
    <row r="181" spans="1:17" s="6" customFormat="1" ht="45" x14ac:dyDescent="0.25">
      <c r="A181" s="48"/>
      <c r="B181" s="8" t="s">
        <v>94</v>
      </c>
      <c r="C181" s="48" t="s">
        <v>135</v>
      </c>
      <c r="D181" s="49" t="s">
        <v>150</v>
      </c>
      <c r="E181" s="54" t="s">
        <v>20</v>
      </c>
      <c r="F181" s="22"/>
      <c r="G181" s="7" t="s">
        <v>102</v>
      </c>
      <c r="H181" s="24">
        <v>1</v>
      </c>
      <c r="I181" s="25"/>
      <c r="J181" s="38"/>
      <c r="K181" s="30"/>
      <c r="L181" s="30"/>
      <c r="M181" s="62">
        <f t="shared" si="5"/>
        <v>0</v>
      </c>
      <c r="N181" s="40">
        <f>4</f>
        <v>4</v>
      </c>
      <c r="O181" s="31"/>
      <c r="P181" s="31"/>
      <c r="Q181" s="27">
        <f t="shared" si="6"/>
        <v>0</v>
      </c>
    </row>
    <row r="182" spans="1:17" s="6" customFormat="1" ht="60" x14ac:dyDescent="0.25">
      <c r="A182" s="48"/>
      <c r="B182" s="8" t="s">
        <v>94</v>
      </c>
      <c r="C182" s="56" t="s">
        <v>110</v>
      </c>
      <c r="D182" s="49" t="s">
        <v>111</v>
      </c>
      <c r="E182" s="54" t="s">
        <v>20</v>
      </c>
      <c r="F182" s="22"/>
      <c r="G182" s="73" t="s">
        <v>104</v>
      </c>
      <c r="H182" s="48">
        <v>1</v>
      </c>
      <c r="I182" s="71"/>
      <c r="J182" s="55"/>
      <c r="K182" s="30"/>
      <c r="L182" s="30"/>
      <c r="M182" s="62">
        <f t="shared" si="5"/>
        <v>0</v>
      </c>
      <c r="N182" s="40"/>
      <c r="O182" s="76"/>
      <c r="P182" s="76"/>
      <c r="Q182" s="69">
        <f t="shared" si="6"/>
        <v>0</v>
      </c>
    </row>
    <row r="183" spans="1:17" s="3" customFormat="1" x14ac:dyDescent="0.25">
      <c r="A183" s="66"/>
      <c r="B183" s="11" t="s">
        <v>95</v>
      </c>
      <c r="C183" s="48" t="s">
        <v>17</v>
      </c>
      <c r="D183" s="49"/>
      <c r="E183" s="54" t="s">
        <v>20</v>
      </c>
      <c r="F183" s="22"/>
      <c r="G183" s="23" t="s">
        <v>102</v>
      </c>
      <c r="H183" s="24"/>
      <c r="I183" s="25"/>
      <c r="J183" s="37"/>
      <c r="K183" s="26"/>
      <c r="L183" s="26"/>
      <c r="M183" s="62">
        <f t="shared" si="5"/>
        <v>0</v>
      </c>
      <c r="N183" s="40">
        <f>5</f>
        <v>5</v>
      </c>
      <c r="O183" s="28"/>
      <c r="P183" s="28"/>
      <c r="Q183" s="27">
        <f t="shared" si="6"/>
        <v>0</v>
      </c>
    </row>
    <row r="184" spans="1:17" s="3" customFormat="1" x14ac:dyDescent="0.25">
      <c r="A184" s="66"/>
      <c r="B184" s="11" t="s">
        <v>121</v>
      </c>
      <c r="C184" s="48" t="s">
        <v>17</v>
      </c>
      <c r="D184" s="49"/>
      <c r="E184" s="54" t="s">
        <v>20</v>
      </c>
      <c r="F184" s="22"/>
      <c r="G184" s="23" t="s">
        <v>102</v>
      </c>
      <c r="H184" s="24">
        <v>1</v>
      </c>
      <c r="I184" s="25"/>
      <c r="J184" s="37"/>
      <c r="K184" s="26"/>
      <c r="L184" s="26"/>
      <c r="M184" s="62">
        <f t="shared" si="5"/>
        <v>0</v>
      </c>
      <c r="N184" s="40">
        <f>1</f>
        <v>1</v>
      </c>
      <c r="O184" s="28"/>
      <c r="P184" s="28"/>
      <c r="Q184" s="69">
        <f t="shared" si="6"/>
        <v>0</v>
      </c>
    </row>
    <row r="185" spans="1:17" s="3" customFormat="1" x14ac:dyDescent="0.25">
      <c r="A185" s="66"/>
      <c r="B185" s="11" t="s">
        <v>121</v>
      </c>
      <c r="C185" s="48" t="s">
        <v>17</v>
      </c>
      <c r="D185" s="49"/>
      <c r="E185" s="50" t="s">
        <v>21</v>
      </c>
      <c r="F185" s="22"/>
      <c r="G185" s="67" t="s">
        <v>108</v>
      </c>
      <c r="H185" s="48"/>
      <c r="I185" s="71"/>
      <c r="J185" s="52"/>
      <c r="K185" s="53"/>
      <c r="L185" s="53"/>
      <c r="M185" s="62">
        <f t="shared" si="5"/>
        <v>0</v>
      </c>
      <c r="N185" s="43">
        <v>1</v>
      </c>
      <c r="O185" s="62"/>
      <c r="P185" s="62"/>
      <c r="Q185" s="27">
        <f t="shared" si="6"/>
        <v>0</v>
      </c>
    </row>
    <row r="186" spans="1:17" s="3" customFormat="1" x14ac:dyDescent="0.25">
      <c r="A186" s="66"/>
      <c r="B186" s="7" t="s">
        <v>96</v>
      </c>
      <c r="C186" s="48" t="s">
        <v>17</v>
      </c>
      <c r="D186" s="49"/>
      <c r="E186" s="54" t="s">
        <v>20</v>
      </c>
      <c r="F186" s="22"/>
      <c r="G186" s="23" t="s">
        <v>102</v>
      </c>
      <c r="H186" s="24">
        <v>1</v>
      </c>
      <c r="I186" s="25"/>
      <c r="J186" s="37"/>
      <c r="K186" s="26"/>
      <c r="L186" s="26"/>
      <c r="M186" s="62">
        <f t="shared" si="5"/>
        <v>0</v>
      </c>
      <c r="N186" s="40">
        <f>2</f>
        <v>2</v>
      </c>
      <c r="O186" s="28"/>
      <c r="P186" s="28"/>
      <c r="Q186" s="69">
        <f t="shared" si="6"/>
        <v>0</v>
      </c>
    </row>
    <row r="187" spans="1:17" s="3" customFormat="1" x14ac:dyDescent="0.25">
      <c r="A187" s="66"/>
      <c r="B187" s="7" t="s">
        <v>96</v>
      </c>
      <c r="C187" s="48" t="s">
        <v>17</v>
      </c>
      <c r="D187" s="49"/>
      <c r="E187" s="54" t="s">
        <v>20</v>
      </c>
      <c r="F187" s="22"/>
      <c r="G187" s="67" t="s">
        <v>104</v>
      </c>
      <c r="H187" s="48"/>
      <c r="I187" s="68"/>
      <c r="J187" s="52"/>
      <c r="K187" s="26"/>
      <c r="L187" s="26"/>
      <c r="M187" s="62">
        <f t="shared" si="5"/>
        <v>0</v>
      </c>
      <c r="N187" s="40"/>
      <c r="O187" s="62"/>
      <c r="P187" s="62"/>
      <c r="Q187" s="69">
        <f t="shared" si="6"/>
        <v>0</v>
      </c>
    </row>
    <row r="188" spans="1:17" s="3" customFormat="1" x14ac:dyDescent="0.25">
      <c r="A188" s="66"/>
      <c r="B188" s="7" t="s">
        <v>97</v>
      </c>
      <c r="C188" s="48" t="s">
        <v>17</v>
      </c>
      <c r="D188" s="49"/>
      <c r="E188" s="50" t="s">
        <v>20</v>
      </c>
      <c r="F188" s="22"/>
      <c r="G188" s="23" t="s">
        <v>102</v>
      </c>
      <c r="H188" s="24">
        <v>1</v>
      </c>
      <c r="I188" s="25"/>
      <c r="J188" s="37"/>
      <c r="K188" s="26"/>
      <c r="L188" s="26"/>
      <c r="M188" s="62">
        <f t="shared" si="5"/>
        <v>0</v>
      </c>
      <c r="N188" s="40"/>
      <c r="O188" s="26"/>
      <c r="P188" s="26"/>
      <c r="Q188" s="69">
        <f t="shared" si="6"/>
        <v>0</v>
      </c>
    </row>
    <row r="189" spans="1:17" s="3" customFormat="1" x14ac:dyDescent="0.25">
      <c r="A189" s="66"/>
      <c r="B189" s="7" t="s">
        <v>97</v>
      </c>
      <c r="C189" s="48" t="s">
        <v>17</v>
      </c>
      <c r="D189" s="49"/>
      <c r="E189" s="50" t="s">
        <v>20</v>
      </c>
      <c r="F189" s="22"/>
      <c r="G189" s="67" t="s">
        <v>104</v>
      </c>
      <c r="H189" s="48"/>
      <c r="I189" s="68"/>
      <c r="J189" s="52"/>
      <c r="K189" s="26"/>
      <c r="L189" s="26"/>
      <c r="M189" s="62">
        <f t="shared" si="5"/>
        <v>0</v>
      </c>
      <c r="N189" s="40"/>
      <c r="O189" s="62"/>
      <c r="P189" s="62"/>
      <c r="Q189" s="69">
        <f t="shared" si="6"/>
        <v>0</v>
      </c>
    </row>
    <row r="190" spans="1:17" s="4" customFormat="1" x14ac:dyDescent="0.25">
      <c r="A190" s="66"/>
      <c r="B190" s="7" t="s">
        <v>98</v>
      </c>
      <c r="C190" s="48" t="s">
        <v>17</v>
      </c>
      <c r="D190" s="49"/>
      <c r="E190" s="50" t="s">
        <v>20</v>
      </c>
      <c r="F190" s="22"/>
      <c r="G190" s="23" t="s">
        <v>102</v>
      </c>
      <c r="H190" s="24">
        <v>1</v>
      </c>
      <c r="I190" s="25"/>
      <c r="J190" s="37"/>
      <c r="K190" s="26"/>
      <c r="L190" s="26"/>
      <c r="M190" s="62">
        <f t="shared" si="5"/>
        <v>0</v>
      </c>
      <c r="N190" s="40"/>
      <c r="O190" s="28"/>
      <c r="P190" s="28"/>
      <c r="Q190" s="69">
        <f t="shared" si="6"/>
        <v>0</v>
      </c>
    </row>
    <row r="191" spans="1:17" s="4" customFormat="1" x14ac:dyDescent="0.25">
      <c r="A191" s="66"/>
      <c r="B191" s="7" t="s">
        <v>98</v>
      </c>
      <c r="C191" s="48" t="s">
        <v>17</v>
      </c>
      <c r="D191" s="49"/>
      <c r="E191" s="50" t="s">
        <v>20</v>
      </c>
      <c r="F191" s="22"/>
      <c r="G191" s="67" t="s">
        <v>104</v>
      </c>
      <c r="H191" s="48"/>
      <c r="I191" s="68"/>
      <c r="J191" s="52"/>
      <c r="K191" s="26"/>
      <c r="L191" s="26"/>
      <c r="M191" s="62">
        <f t="shared" si="5"/>
        <v>0</v>
      </c>
      <c r="N191" s="43"/>
      <c r="O191" s="62"/>
      <c r="P191" s="62"/>
      <c r="Q191" s="69">
        <f t="shared" si="6"/>
        <v>0</v>
      </c>
    </row>
    <row r="192" spans="1:17" s="3" customFormat="1" x14ac:dyDescent="0.25">
      <c r="A192" s="66"/>
      <c r="B192" s="8" t="s">
        <v>26</v>
      </c>
      <c r="C192" s="48" t="s">
        <v>17</v>
      </c>
      <c r="D192" s="49"/>
      <c r="E192" s="50" t="s">
        <v>32</v>
      </c>
      <c r="F192" s="22"/>
      <c r="G192" s="23" t="s">
        <v>107</v>
      </c>
      <c r="H192" s="24"/>
      <c r="I192" s="25"/>
      <c r="J192" s="37"/>
      <c r="K192" s="26"/>
      <c r="L192" s="26"/>
      <c r="M192" s="62">
        <f t="shared" si="5"/>
        <v>0</v>
      </c>
      <c r="N192" s="40"/>
      <c r="O192" s="28"/>
      <c r="P192" s="28"/>
      <c r="Q192" s="69">
        <f t="shared" si="6"/>
        <v>0</v>
      </c>
    </row>
    <row r="193" spans="1:20" s="3" customFormat="1" x14ac:dyDescent="0.25">
      <c r="A193" s="66"/>
      <c r="B193" s="8" t="s">
        <v>99</v>
      </c>
      <c r="C193" s="48" t="s">
        <v>17</v>
      </c>
      <c r="D193" s="49"/>
      <c r="E193" s="54" t="s">
        <v>35</v>
      </c>
      <c r="F193" s="22"/>
      <c r="G193" s="23" t="s">
        <v>102</v>
      </c>
      <c r="H193" s="24">
        <v>2</v>
      </c>
      <c r="I193" s="25"/>
      <c r="J193" s="37"/>
      <c r="K193" s="26"/>
      <c r="L193" s="26"/>
      <c r="M193" s="62">
        <f t="shared" si="5"/>
        <v>0</v>
      </c>
      <c r="N193" s="40">
        <f>5</f>
        <v>5</v>
      </c>
      <c r="O193" s="28"/>
      <c r="P193" s="28"/>
      <c r="Q193" s="69"/>
    </row>
    <row r="194" spans="1:20" s="3" customFormat="1" x14ac:dyDescent="0.25">
      <c r="A194" s="66"/>
      <c r="B194" s="11" t="s">
        <v>100</v>
      </c>
      <c r="C194" s="48" t="s">
        <v>17</v>
      </c>
      <c r="D194" s="57"/>
      <c r="E194" s="54" t="s">
        <v>20</v>
      </c>
      <c r="F194" s="22"/>
      <c r="G194" s="23" t="s">
        <v>102</v>
      </c>
      <c r="H194" s="24">
        <v>1</v>
      </c>
      <c r="I194" s="25"/>
      <c r="J194" s="37"/>
      <c r="K194" s="26"/>
      <c r="L194" s="26"/>
      <c r="M194" s="62">
        <f t="shared" si="5"/>
        <v>0</v>
      </c>
      <c r="N194" s="40">
        <f>1</f>
        <v>1</v>
      </c>
      <c r="O194" s="28"/>
      <c r="P194" s="28"/>
      <c r="Q194" s="69">
        <f t="shared" si="6"/>
        <v>0</v>
      </c>
      <c r="T194" s="45"/>
    </row>
    <row r="195" spans="1:20" x14ac:dyDescent="0.25">
      <c r="A195" s="97"/>
      <c r="B195" s="15"/>
      <c r="C195" s="98"/>
      <c r="D195" s="72"/>
      <c r="E195" s="72"/>
      <c r="F195" s="22"/>
      <c r="G195" s="72" t="s">
        <v>112</v>
      </c>
      <c r="H195" s="77">
        <f>SUM(H10:H194)</f>
        <v>107</v>
      </c>
      <c r="I195" s="99">
        <f>SUM(I10:I194)</f>
        <v>0</v>
      </c>
      <c r="J195" s="58">
        <f>SUM(J10:J194)</f>
        <v>2</v>
      </c>
      <c r="K195" s="59">
        <f>SUM(K10:K194)</f>
        <v>0</v>
      </c>
      <c r="L195" s="59">
        <f>SUM(L10:L194)</f>
        <v>0</v>
      </c>
      <c r="M195" s="60">
        <f>K195-L195</f>
        <v>0</v>
      </c>
      <c r="N195" s="58">
        <f>SUM(N10:N194)</f>
        <v>183</v>
      </c>
      <c r="O195" s="78">
        <f>SUM(O10:O194)</f>
        <v>0</v>
      </c>
      <c r="P195" s="78">
        <f>SUM(P10:P194)</f>
        <v>0</v>
      </c>
      <c r="Q195" s="27">
        <f t="shared" si="6"/>
        <v>0</v>
      </c>
    </row>
    <row r="196" spans="1:20" x14ac:dyDescent="0.25">
      <c r="K196" s="35" t="s">
        <v>136</v>
      </c>
    </row>
    <row r="197" spans="1:20" ht="45" x14ac:dyDescent="0.25">
      <c r="B197" s="86" t="s">
        <v>169</v>
      </c>
      <c r="F197" s="41" t="s">
        <v>142</v>
      </c>
      <c r="M197" s="46"/>
      <c r="N197" s="81"/>
      <c r="O197" s="82"/>
      <c r="P197" s="83"/>
      <c r="Q197" s="44"/>
    </row>
    <row r="198" spans="1:20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87"/>
      <c r="M198" s="61"/>
      <c r="N198" s="2"/>
      <c r="O198" s="2"/>
      <c r="P198" s="2"/>
      <c r="Q198" s="2"/>
    </row>
    <row r="199" spans="1:20" x14ac:dyDescent="0.25">
      <c r="M199" s="61"/>
      <c r="T199" s="45"/>
    </row>
    <row r="200" spans="1:20" x14ac:dyDescent="0.25">
      <c r="M200" s="61"/>
    </row>
    <row r="201" spans="1:20" x14ac:dyDescent="0.25">
      <c r="M201" s="61"/>
    </row>
    <row r="202" spans="1:20" x14ac:dyDescent="0.25">
      <c r="M202" s="61"/>
    </row>
  </sheetData>
  <mergeCells count="7">
    <mergeCell ref="O1:Q1"/>
    <mergeCell ref="A3:Q3"/>
    <mergeCell ref="A4:Q4"/>
    <mergeCell ref="A5:Q5"/>
    <mergeCell ref="B7:G7"/>
    <mergeCell ref="H7:M7"/>
    <mergeCell ref="N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workbookViewId="0">
      <selection sqref="A1:XFD1048576"/>
    </sheetView>
  </sheetViews>
  <sheetFormatPr defaultRowHeight="15" x14ac:dyDescent="0.25"/>
  <cols>
    <col min="1" max="1" width="1.85546875" style="2" customWidth="1"/>
    <col min="2" max="2" width="38.28515625" style="32" customWidth="1"/>
    <col min="3" max="3" width="6.5703125" style="5" customWidth="1"/>
    <col min="4" max="4" width="17.42578125" style="5" customWidth="1"/>
    <col min="5" max="5" width="19" style="5" customWidth="1"/>
    <col min="6" max="6" width="19" style="33" customWidth="1"/>
    <col min="7" max="7" width="20.140625" style="33" customWidth="1"/>
    <col min="8" max="9" width="15.7109375" style="34" customWidth="1"/>
    <col min="10" max="10" width="15.7109375" style="39" customWidth="1"/>
    <col min="11" max="13" width="15.7109375" style="35" customWidth="1"/>
    <col min="14" max="14" width="15.7109375" style="39" customWidth="1"/>
    <col min="15" max="17" width="15.7109375" style="36" customWidth="1"/>
    <col min="18" max="18" width="11" style="2" customWidth="1"/>
    <col min="19" max="19" width="9.140625" style="2"/>
    <col min="20" max="20" width="10.42578125" style="105" bestFit="1" customWidth="1"/>
    <col min="21" max="16384" width="9.140625" style="2"/>
  </cols>
  <sheetData>
    <row r="1" spans="1:20" s="42" customFormat="1" x14ac:dyDescent="0.25">
      <c r="A1" s="9"/>
      <c r="B1" s="9"/>
      <c r="C1" s="63"/>
      <c r="D1" s="63"/>
      <c r="E1" s="63"/>
      <c r="F1" s="12"/>
      <c r="G1" s="12"/>
      <c r="H1" s="13"/>
      <c r="I1" s="13"/>
      <c r="J1" s="92"/>
      <c r="K1" s="14"/>
      <c r="L1" s="14"/>
      <c r="M1" s="14"/>
      <c r="N1" s="92"/>
      <c r="O1" s="135" t="s">
        <v>15</v>
      </c>
      <c r="P1" s="135"/>
      <c r="Q1" s="135"/>
      <c r="T1" s="104"/>
    </row>
    <row r="2" spans="1:20" s="42" customFormat="1" x14ac:dyDescent="0.25">
      <c r="A2" s="100"/>
      <c r="B2" s="101"/>
      <c r="C2" s="102"/>
      <c r="D2" s="102"/>
      <c r="E2" s="102"/>
      <c r="F2" s="15"/>
      <c r="G2" s="15"/>
      <c r="H2" s="103"/>
      <c r="I2" s="103"/>
      <c r="J2" s="93"/>
      <c r="K2" s="16"/>
      <c r="L2" s="16"/>
      <c r="M2" s="16"/>
      <c r="N2" s="93"/>
      <c r="O2" s="17"/>
      <c r="P2" s="17"/>
      <c r="Q2" s="17"/>
      <c r="T2" s="104"/>
    </row>
    <row r="3" spans="1:20" s="42" customFormat="1" x14ac:dyDescent="0.25">
      <c r="A3" s="136" t="s">
        <v>171</v>
      </c>
      <c r="B3" s="137"/>
      <c r="C3" s="138"/>
      <c r="D3" s="144"/>
      <c r="E3" s="144"/>
      <c r="F3" s="145"/>
      <c r="G3" s="145"/>
      <c r="H3" s="146"/>
      <c r="I3" s="146"/>
      <c r="J3" s="145"/>
      <c r="K3" s="145"/>
      <c r="L3" s="145"/>
      <c r="M3" s="145"/>
      <c r="N3" s="145"/>
      <c r="O3" s="145"/>
      <c r="P3" s="145"/>
      <c r="Q3" s="145"/>
      <c r="T3" s="104"/>
    </row>
    <row r="4" spans="1:20" s="42" customFormat="1" x14ac:dyDescent="0.25">
      <c r="A4" s="140">
        <v>43850</v>
      </c>
      <c r="B4" s="141"/>
      <c r="C4" s="142"/>
      <c r="D4" s="147"/>
      <c r="E4" s="147"/>
      <c r="F4" s="148"/>
      <c r="G4" s="148"/>
      <c r="H4" s="149"/>
      <c r="I4" s="149"/>
      <c r="J4" s="148"/>
      <c r="K4" s="148"/>
      <c r="L4" s="148"/>
      <c r="M4" s="148"/>
      <c r="N4" s="148"/>
      <c r="O4" s="148"/>
      <c r="P4" s="148"/>
      <c r="Q4" s="148"/>
      <c r="T4" s="104"/>
    </row>
    <row r="5" spans="1:20" s="42" customFormat="1" x14ac:dyDescent="0.25">
      <c r="A5" s="137" t="s">
        <v>14</v>
      </c>
      <c r="B5" s="137"/>
      <c r="C5" s="137"/>
      <c r="D5" s="145"/>
      <c r="E5" s="145"/>
      <c r="F5" s="145"/>
      <c r="G5" s="145"/>
      <c r="H5" s="146"/>
      <c r="I5" s="146"/>
      <c r="J5" s="145"/>
      <c r="K5" s="145"/>
      <c r="L5" s="145"/>
      <c r="M5" s="145"/>
      <c r="N5" s="145"/>
      <c r="O5" s="145"/>
      <c r="P5" s="145"/>
      <c r="Q5" s="145"/>
      <c r="T5" s="104"/>
    </row>
    <row r="6" spans="1:20" s="42" customFormat="1" x14ac:dyDescent="0.25">
      <c r="A6" s="100"/>
      <c r="B6" s="101"/>
      <c r="C6" s="102"/>
      <c r="D6" s="102"/>
      <c r="E6" s="102"/>
      <c r="F6" s="15"/>
      <c r="G6" s="15"/>
      <c r="H6" s="103"/>
      <c r="I6" s="103"/>
      <c r="J6" s="93"/>
      <c r="K6" s="16"/>
      <c r="L6" s="16"/>
      <c r="M6" s="16"/>
      <c r="N6" s="93"/>
      <c r="O6" s="17"/>
      <c r="P6" s="17"/>
      <c r="Q6" s="17"/>
      <c r="T6" s="104"/>
    </row>
    <row r="7" spans="1:20" x14ac:dyDescent="0.25">
      <c r="A7" s="64" t="s">
        <v>0</v>
      </c>
      <c r="B7" s="137" t="s">
        <v>10</v>
      </c>
      <c r="C7" s="138"/>
      <c r="D7" s="138"/>
      <c r="E7" s="138"/>
      <c r="F7" s="137"/>
      <c r="G7" s="137"/>
      <c r="H7" s="139" t="s">
        <v>172</v>
      </c>
      <c r="I7" s="139"/>
      <c r="J7" s="137"/>
      <c r="K7" s="137"/>
      <c r="L7" s="137"/>
      <c r="M7" s="137"/>
      <c r="N7" s="137" t="s">
        <v>113</v>
      </c>
      <c r="O7" s="137"/>
      <c r="P7" s="137"/>
      <c r="Q7" s="137"/>
    </row>
    <row r="8" spans="1:20" ht="195" x14ac:dyDescent="0.25">
      <c r="A8" s="64"/>
      <c r="B8" s="101" t="s">
        <v>4</v>
      </c>
      <c r="C8" s="102" t="s">
        <v>1</v>
      </c>
      <c r="D8" s="102" t="s">
        <v>3</v>
      </c>
      <c r="E8" s="102" t="s">
        <v>2</v>
      </c>
      <c r="F8" s="101" t="s">
        <v>6</v>
      </c>
      <c r="G8" s="15" t="s">
        <v>5</v>
      </c>
      <c r="H8" s="101" t="s">
        <v>7</v>
      </c>
      <c r="I8" s="101" t="s">
        <v>8</v>
      </c>
      <c r="J8" s="93" t="s">
        <v>9</v>
      </c>
      <c r="K8" s="16" t="s">
        <v>11</v>
      </c>
      <c r="L8" s="16" t="s">
        <v>12</v>
      </c>
      <c r="M8" s="16" t="s">
        <v>13</v>
      </c>
      <c r="N8" s="93" t="s">
        <v>9</v>
      </c>
      <c r="O8" s="17" t="s">
        <v>11</v>
      </c>
      <c r="P8" s="17" t="s">
        <v>12</v>
      </c>
      <c r="Q8" s="17" t="s">
        <v>13</v>
      </c>
    </row>
    <row r="9" spans="1:20" x14ac:dyDescent="0.25">
      <c r="A9" s="65">
        <v>1</v>
      </c>
      <c r="B9" s="10">
        <f>A9+1</f>
        <v>2</v>
      </c>
      <c r="C9" s="65">
        <f t="shared" ref="C9:Q9" si="0">B9+1</f>
        <v>3</v>
      </c>
      <c r="D9" s="65">
        <f t="shared" si="0"/>
        <v>4</v>
      </c>
      <c r="E9" s="65">
        <f t="shared" si="0"/>
        <v>5</v>
      </c>
      <c r="F9" s="18">
        <f t="shared" si="0"/>
        <v>6</v>
      </c>
      <c r="G9" s="18">
        <f t="shared" si="0"/>
        <v>7</v>
      </c>
      <c r="H9" s="19">
        <f t="shared" si="0"/>
        <v>8</v>
      </c>
      <c r="I9" s="19">
        <f t="shared" si="0"/>
        <v>9</v>
      </c>
      <c r="J9" s="94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94">
        <f t="shared" si="0"/>
        <v>14</v>
      </c>
      <c r="O9" s="21">
        <f t="shared" si="0"/>
        <v>15</v>
      </c>
      <c r="P9" s="21">
        <f t="shared" si="0"/>
        <v>16</v>
      </c>
      <c r="Q9" s="21">
        <f t="shared" si="0"/>
        <v>17</v>
      </c>
    </row>
    <row r="10" spans="1:20" s="3" customFormat="1" ht="30" x14ac:dyDescent="0.25">
      <c r="A10" s="66"/>
      <c r="B10" s="11" t="s">
        <v>16</v>
      </c>
      <c r="C10" s="48" t="s">
        <v>135</v>
      </c>
      <c r="D10" s="49" t="s">
        <v>141</v>
      </c>
      <c r="E10" s="50" t="s">
        <v>18</v>
      </c>
      <c r="F10" s="22"/>
      <c r="G10" s="23" t="s">
        <v>102</v>
      </c>
      <c r="H10" s="24"/>
      <c r="I10" s="25"/>
      <c r="J10" s="38"/>
      <c r="K10" s="26"/>
      <c r="L10" s="26"/>
      <c r="M10" s="62">
        <f>K10-L10</f>
        <v>0</v>
      </c>
      <c r="N10" s="40"/>
      <c r="O10" s="26"/>
      <c r="P10" s="26"/>
      <c r="Q10" s="27">
        <f>O10-P10</f>
        <v>0</v>
      </c>
    </row>
    <row r="11" spans="1:20" s="3" customFormat="1" ht="30" x14ac:dyDescent="0.25">
      <c r="A11" s="66"/>
      <c r="B11" s="11" t="s">
        <v>16</v>
      </c>
      <c r="C11" s="48" t="s">
        <v>135</v>
      </c>
      <c r="D11" s="49" t="s">
        <v>141</v>
      </c>
      <c r="E11" s="50" t="s">
        <v>18</v>
      </c>
      <c r="F11" s="22"/>
      <c r="G11" s="67" t="s">
        <v>106</v>
      </c>
      <c r="H11" s="48"/>
      <c r="I11" s="68"/>
      <c r="J11" s="37"/>
      <c r="K11" s="62"/>
      <c r="L11" s="62"/>
      <c r="M11" s="62">
        <f>K11-L11</f>
        <v>0</v>
      </c>
      <c r="N11" s="40"/>
      <c r="O11" s="62"/>
      <c r="P11" s="62"/>
      <c r="Q11" s="69">
        <f t="shared" ref="Q11:Q81" si="1">O11-P11</f>
        <v>0</v>
      </c>
    </row>
    <row r="12" spans="1:20" s="3" customFormat="1" x14ac:dyDescent="0.25">
      <c r="A12" s="66"/>
      <c r="B12" s="11" t="s">
        <v>157</v>
      </c>
      <c r="C12" s="48" t="s">
        <v>135</v>
      </c>
      <c r="D12" s="49"/>
      <c r="E12" s="50"/>
      <c r="F12" s="51" t="s">
        <v>174</v>
      </c>
      <c r="G12" s="67" t="s">
        <v>102</v>
      </c>
      <c r="H12" s="48">
        <v>2</v>
      </c>
      <c r="I12" s="68"/>
      <c r="J12" s="37"/>
      <c r="K12" s="62"/>
      <c r="L12" s="62"/>
      <c r="M12" s="62">
        <f t="shared" ref="M12:M75" si="2">K12-L12</f>
        <v>0</v>
      </c>
      <c r="N12" s="40">
        <f>1+4</f>
        <v>5</v>
      </c>
      <c r="O12" s="62"/>
      <c r="P12" s="62"/>
      <c r="Q12" s="27">
        <f t="shared" si="1"/>
        <v>0</v>
      </c>
    </row>
    <row r="13" spans="1:20" s="4" customFormat="1" x14ac:dyDescent="0.25">
      <c r="A13" s="66"/>
      <c r="B13" s="11" t="s">
        <v>19</v>
      </c>
      <c r="C13" s="48" t="s">
        <v>17</v>
      </c>
      <c r="D13" s="49"/>
      <c r="E13" s="50" t="s">
        <v>20</v>
      </c>
      <c r="F13" s="51" t="s">
        <v>175</v>
      </c>
      <c r="G13" s="23" t="s">
        <v>102</v>
      </c>
      <c r="H13" s="24">
        <v>2</v>
      </c>
      <c r="I13" s="25">
        <v>1</v>
      </c>
      <c r="J13" s="37">
        <f>1</f>
        <v>1</v>
      </c>
      <c r="K13" s="26"/>
      <c r="L13" s="26"/>
      <c r="M13" s="62">
        <f t="shared" si="2"/>
        <v>0</v>
      </c>
      <c r="N13" s="40"/>
      <c r="O13" s="28"/>
      <c r="P13" s="28"/>
      <c r="Q13" s="27">
        <f t="shared" si="1"/>
        <v>0</v>
      </c>
    </row>
    <row r="14" spans="1:20" s="4" customFormat="1" x14ac:dyDescent="0.25">
      <c r="A14" s="66"/>
      <c r="B14" s="11" t="s">
        <v>19</v>
      </c>
      <c r="C14" s="48" t="s">
        <v>17</v>
      </c>
      <c r="D14" s="49"/>
      <c r="E14" s="50" t="s">
        <v>20</v>
      </c>
      <c r="F14" s="22"/>
      <c r="G14" s="67" t="s">
        <v>104</v>
      </c>
      <c r="H14" s="48">
        <v>2</v>
      </c>
      <c r="I14" s="68"/>
      <c r="J14" s="52"/>
      <c r="K14" s="26"/>
      <c r="L14" s="26"/>
      <c r="M14" s="62">
        <f t="shared" si="2"/>
        <v>0</v>
      </c>
      <c r="N14" s="40"/>
      <c r="O14" s="62"/>
      <c r="P14" s="62"/>
      <c r="Q14" s="69">
        <f t="shared" si="1"/>
        <v>0</v>
      </c>
    </row>
    <row r="15" spans="1:20" s="4" customFormat="1" x14ac:dyDescent="0.25">
      <c r="A15" s="66"/>
      <c r="B15" s="11" t="s">
        <v>128</v>
      </c>
      <c r="C15" s="48" t="s">
        <v>17</v>
      </c>
      <c r="D15" s="49"/>
      <c r="E15" s="50" t="s">
        <v>20</v>
      </c>
      <c r="F15" s="51" t="s">
        <v>176</v>
      </c>
      <c r="G15" s="23" t="s">
        <v>102</v>
      </c>
      <c r="H15" s="24">
        <v>1</v>
      </c>
      <c r="I15" s="29"/>
      <c r="J15" s="37"/>
      <c r="K15" s="26"/>
      <c r="L15" s="26"/>
      <c r="M15" s="62">
        <f t="shared" si="2"/>
        <v>0</v>
      </c>
      <c r="N15" s="43"/>
      <c r="O15" s="28"/>
      <c r="P15" s="28"/>
      <c r="Q15" s="27">
        <f t="shared" si="1"/>
        <v>0</v>
      </c>
    </row>
    <row r="16" spans="1:20" s="4" customFormat="1" x14ac:dyDescent="0.25">
      <c r="A16" s="66"/>
      <c r="B16" s="70" t="s">
        <v>128</v>
      </c>
      <c r="C16" s="48" t="s">
        <v>17</v>
      </c>
      <c r="D16" s="49"/>
      <c r="E16" s="50" t="s">
        <v>20</v>
      </c>
      <c r="F16" s="22"/>
      <c r="G16" s="67" t="s">
        <v>104</v>
      </c>
      <c r="H16" s="48"/>
      <c r="I16" s="68"/>
      <c r="J16" s="52"/>
      <c r="K16" s="26"/>
      <c r="L16" s="26"/>
      <c r="M16" s="62">
        <f t="shared" si="2"/>
        <v>0</v>
      </c>
      <c r="N16" s="40"/>
      <c r="O16" s="62"/>
      <c r="P16" s="62"/>
      <c r="Q16" s="69">
        <f t="shared" si="1"/>
        <v>0</v>
      </c>
    </row>
    <row r="17" spans="1:17" s="3" customFormat="1" x14ac:dyDescent="0.25">
      <c r="A17" s="66"/>
      <c r="B17" s="8" t="s">
        <v>22</v>
      </c>
      <c r="C17" s="48" t="s">
        <v>17</v>
      </c>
      <c r="D17" s="49"/>
      <c r="E17" s="50" t="s">
        <v>23</v>
      </c>
      <c r="F17" s="22"/>
      <c r="G17" s="23" t="s">
        <v>102</v>
      </c>
      <c r="H17" s="24">
        <v>3</v>
      </c>
      <c r="I17" s="25"/>
      <c r="J17" s="37"/>
      <c r="K17" s="26"/>
      <c r="L17" s="26"/>
      <c r="M17" s="62">
        <f t="shared" si="2"/>
        <v>0</v>
      </c>
      <c r="N17" s="40">
        <f>19+5</f>
        <v>24</v>
      </c>
      <c r="O17" s="28"/>
      <c r="P17" s="28"/>
      <c r="Q17" s="27">
        <f t="shared" si="1"/>
        <v>0</v>
      </c>
    </row>
    <row r="18" spans="1:17" s="3" customFormat="1" x14ac:dyDescent="0.25">
      <c r="A18" s="66"/>
      <c r="B18" s="8" t="s">
        <v>129</v>
      </c>
      <c r="C18" s="48" t="s">
        <v>17</v>
      </c>
      <c r="D18" s="49"/>
      <c r="E18" s="50" t="s">
        <v>20</v>
      </c>
      <c r="F18" s="22"/>
      <c r="G18" s="67" t="s">
        <v>104</v>
      </c>
      <c r="H18" s="48"/>
      <c r="I18" s="71"/>
      <c r="J18" s="52"/>
      <c r="K18" s="53"/>
      <c r="L18" s="53"/>
      <c r="M18" s="62">
        <f t="shared" si="2"/>
        <v>0</v>
      </c>
      <c r="N18" s="43"/>
      <c r="O18" s="62"/>
      <c r="P18" s="62"/>
      <c r="Q18" s="69">
        <f t="shared" si="1"/>
        <v>0</v>
      </c>
    </row>
    <row r="19" spans="1:17" s="3" customFormat="1" x14ac:dyDescent="0.25">
      <c r="A19" s="66"/>
      <c r="B19" s="8" t="s">
        <v>129</v>
      </c>
      <c r="C19" s="48" t="s">
        <v>17</v>
      </c>
      <c r="D19" s="49"/>
      <c r="E19" s="50" t="s">
        <v>20</v>
      </c>
      <c r="F19" s="51" t="s">
        <v>177</v>
      </c>
      <c r="G19" s="23" t="s">
        <v>102</v>
      </c>
      <c r="H19" s="24">
        <v>3</v>
      </c>
      <c r="I19" s="25">
        <v>1</v>
      </c>
      <c r="J19" s="37">
        <f>1</f>
        <v>1</v>
      </c>
      <c r="K19" s="26"/>
      <c r="L19" s="26"/>
      <c r="M19" s="62">
        <f t="shared" si="2"/>
        <v>0</v>
      </c>
      <c r="N19" s="40">
        <f>5</f>
        <v>5</v>
      </c>
      <c r="O19" s="28"/>
      <c r="P19" s="28"/>
      <c r="Q19" s="27">
        <f t="shared" si="1"/>
        <v>0</v>
      </c>
    </row>
    <row r="20" spans="1:17" s="3" customFormat="1" x14ac:dyDescent="0.25">
      <c r="A20" s="66"/>
      <c r="B20" s="11" t="s">
        <v>24</v>
      </c>
      <c r="C20" s="48" t="s">
        <v>17</v>
      </c>
      <c r="D20" s="49"/>
      <c r="E20" s="50" t="s">
        <v>20</v>
      </c>
      <c r="F20" s="22"/>
      <c r="G20" s="23" t="s">
        <v>102</v>
      </c>
      <c r="H20" s="24">
        <v>1</v>
      </c>
      <c r="I20" s="25"/>
      <c r="J20" s="37"/>
      <c r="K20" s="26"/>
      <c r="L20" s="26"/>
      <c r="M20" s="62">
        <f t="shared" si="2"/>
        <v>0</v>
      </c>
      <c r="N20" s="40">
        <f>3</f>
        <v>3</v>
      </c>
      <c r="O20" s="28"/>
      <c r="P20" s="28"/>
      <c r="Q20" s="69">
        <f t="shared" si="1"/>
        <v>0</v>
      </c>
    </row>
    <row r="21" spans="1:17" s="3" customFormat="1" x14ac:dyDescent="0.25">
      <c r="A21" s="66"/>
      <c r="B21" s="11" t="s">
        <v>24</v>
      </c>
      <c r="C21" s="48" t="s">
        <v>17</v>
      </c>
      <c r="D21" s="49"/>
      <c r="E21" s="50" t="s">
        <v>20</v>
      </c>
      <c r="F21" s="22"/>
      <c r="G21" s="67" t="s">
        <v>104</v>
      </c>
      <c r="H21" s="48"/>
      <c r="I21" s="68"/>
      <c r="J21" s="52"/>
      <c r="K21" s="26"/>
      <c r="L21" s="26"/>
      <c r="M21" s="62">
        <f t="shared" si="2"/>
        <v>0</v>
      </c>
      <c r="N21" s="40"/>
      <c r="O21" s="62"/>
      <c r="P21" s="62"/>
      <c r="Q21" s="69">
        <f t="shared" si="1"/>
        <v>0</v>
      </c>
    </row>
    <row r="22" spans="1:17" s="3" customFormat="1" x14ac:dyDescent="0.25">
      <c r="A22" s="66"/>
      <c r="B22" s="11" t="s">
        <v>25</v>
      </c>
      <c r="C22" s="48" t="s">
        <v>17</v>
      </c>
      <c r="D22" s="49"/>
      <c r="E22" s="50" t="s">
        <v>20</v>
      </c>
      <c r="F22" s="51" t="s">
        <v>178</v>
      </c>
      <c r="G22" s="23" t="s">
        <v>102</v>
      </c>
      <c r="H22" s="24">
        <v>1</v>
      </c>
      <c r="I22" s="25"/>
      <c r="J22" s="37"/>
      <c r="K22" s="47"/>
      <c r="L22" s="47"/>
      <c r="M22" s="62">
        <f t="shared" si="2"/>
        <v>0</v>
      </c>
      <c r="N22" s="40">
        <f>7</f>
        <v>7</v>
      </c>
      <c r="O22" s="28"/>
      <c r="P22" s="28"/>
      <c r="Q22" s="69">
        <f t="shared" si="1"/>
        <v>0</v>
      </c>
    </row>
    <row r="23" spans="1:17" s="3" customFormat="1" x14ac:dyDescent="0.25">
      <c r="A23" s="66"/>
      <c r="B23" s="11" t="s">
        <v>25</v>
      </c>
      <c r="C23" s="48" t="s">
        <v>17</v>
      </c>
      <c r="D23" s="49"/>
      <c r="E23" s="50" t="s">
        <v>20</v>
      </c>
      <c r="F23" s="22"/>
      <c r="G23" s="67" t="s">
        <v>104</v>
      </c>
      <c r="H23" s="48"/>
      <c r="I23" s="68"/>
      <c r="J23" s="52"/>
      <c r="K23" s="26"/>
      <c r="L23" s="26"/>
      <c r="M23" s="62">
        <f t="shared" si="2"/>
        <v>0</v>
      </c>
      <c r="N23" s="40"/>
      <c r="O23" s="62"/>
      <c r="P23" s="62"/>
      <c r="Q23" s="69">
        <f t="shared" si="1"/>
        <v>0</v>
      </c>
    </row>
    <row r="24" spans="1:17" s="3" customFormat="1" x14ac:dyDescent="0.25">
      <c r="A24" s="66"/>
      <c r="B24" s="11" t="s">
        <v>167</v>
      </c>
      <c r="C24" s="48" t="s">
        <v>17</v>
      </c>
      <c r="D24" s="49"/>
      <c r="E24" s="50" t="s">
        <v>20</v>
      </c>
      <c r="F24" s="51" t="s">
        <v>179</v>
      </c>
      <c r="G24" s="84" t="s">
        <v>102</v>
      </c>
      <c r="H24" s="48">
        <v>2</v>
      </c>
      <c r="I24" s="68"/>
      <c r="J24" s="52"/>
      <c r="K24" s="26"/>
      <c r="L24" s="26"/>
      <c r="M24" s="62">
        <f t="shared" si="2"/>
        <v>0</v>
      </c>
      <c r="N24" s="40">
        <f>2</f>
        <v>2</v>
      </c>
      <c r="O24" s="62"/>
      <c r="P24" s="62"/>
      <c r="Q24" s="69"/>
    </row>
    <row r="25" spans="1:17" s="3" customFormat="1" x14ac:dyDescent="0.25">
      <c r="A25" s="66"/>
      <c r="B25" s="11" t="s">
        <v>26</v>
      </c>
      <c r="C25" s="48" t="s">
        <v>17</v>
      </c>
      <c r="D25" s="49"/>
      <c r="E25" s="50" t="s">
        <v>27</v>
      </c>
      <c r="F25" s="22"/>
      <c r="G25" s="23" t="s">
        <v>102</v>
      </c>
      <c r="H25" s="24"/>
      <c r="I25" s="25"/>
      <c r="J25" s="37"/>
      <c r="K25" s="26"/>
      <c r="L25" s="26"/>
      <c r="M25" s="62">
        <f t="shared" si="2"/>
        <v>0</v>
      </c>
      <c r="N25" s="40">
        <f>2</f>
        <v>2</v>
      </c>
      <c r="O25" s="28"/>
      <c r="P25" s="28"/>
      <c r="Q25" s="69">
        <f t="shared" si="1"/>
        <v>0</v>
      </c>
    </row>
    <row r="26" spans="1:17" s="4" customFormat="1" x14ac:dyDescent="0.25">
      <c r="A26" s="66"/>
      <c r="B26" s="11" t="s">
        <v>28</v>
      </c>
      <c r="C26" s="48" t="s">
        <v>17</v>
      </c>
      <c r="D26" s="49"/>
      <c r="E26" s="54" t="s">
        <v>29</v>
      </c>
      <c r="F26" s="51" t="s">
        <v>180</v>
      </c>
      <c r="G26" s="23" t="s">
        <v>102</v>
      </c>
      <c r="H26" s="24"/>
      <c r="I26" s="25"/>
      <c r="J26" s="37"/>
      <c r="K26" s="26"/>
      <c r="L26" s="26"/>
      <c r="M26" s="62">
        <f t="shared" si="2"/>
        <v>0</v>
      </c>
      <c r="N26" s="40">
        <f>2+1</f>
        <v>3</v>
      </c>
      <c r="O26" s="28"/>
      <c r="P26" s="28"/>
      <c r="Q26" s="69">
        <f t="shared" si="1"/>
        <v>0</v>
      </c>
    </row>
    <row r="27" spans="1:17" s="4" customFormat="1" x14ac:dyDescent="0.25">
      <c r="A27" s="66"/>
      <c r="B27" s="11" t="s">
        <v>28</v>
      </c>
      <c r="C27" s="48" t="s">
        <v>17</v>
      </c>
      <c r="D27" s="49"/>
      <c r="E27" s="54" t="s">
        <v>29</v>
      </c>
      <c r="F27" s="22"/>
      <c r="G27" s="72" t="s">
        <v>107</v>
      </c>
      <c r="H27" s="48"/>
      <c r="I27" s="68"/>
      <c r="J27" s="37"/>
      <c r="K27" s="26"/>
      <c r="L27" s="26"/>
      <c r="M27" s="62">
        <f t="shared" si="2"/>
        <v>0</v>
      </c>
      <c r="N27" s="40"/>
      <c r="O27" s="62"/>
      <c r="P27" s="62"/>
      <c r="Q27" s="27">
        <f t="shared" si="1"/>
        <v>0</v>
      </c>
    </row>
    <row r="28" spans="1:17" s="4" customFormat="1" x14ac:dyDescent="0.25">
      <c r="A28" s="66"/>
      <c r="B28" s="70" t="s">
        <v>162</v>
      </c>
      <c r="C28" s="48" t="s">
        <v>17</v>
      </c>
      <c r="D28" s="49"/>
      <c r="E28" s="54"/>
      <c r="F28" s="22"/>
      <c r="G28" s="72" t="s">
        <v>102</v>
      </c>
      <c r="H28" s="48">
        <v>4</v>
      </c>
      <c r="I28" s="68"/>
      <c r="J28" s="37"/>
      <c r="K28" s="26"/>
      <c r="L28" s="26"/>
      <c r="M28" s="62">
        <f t="shared" si="2"/>
        <v>0</v>
      </c>
      <c r="N28" s="40"/>
      <c r="O28" s="62"/>
      <c r="P28" s="62"/>
      <c r="Q28" s="27">
        <f t="shared" si="1"/>
        <v>0</v>
      </c>
    </row>
    <row r="29" spans="1:17" s="3" customFormat="1" x14ac:dyDescent="0.25">
      <c r="A29" s="66"/>
      <c r="B29" s="7" t="s">
        <v>30</v>
      </c>
      <c r="C29" s="48" t="s">
        <v>17</v>
      </c>
      <c r="D29" s="49"/>
      <c r="E29" s="54" t="s">
        <v>21</v>
      </c>
      <c r="F29" s="22"/>
      <c r="G29" s="23" t="s">
        <v>102</v>
      </c>
      <c r="H29" s="24">
        <v>3</v>
      </c>
      <c r="I29" s="25"/>
      <c r="J29" s="37"/>
      <c r="K29" s="26"/>
      <c r="L29" s="26"/>
      <c r="M29" s="62">
        <f t="shared" si="2"/>
        <v>0</v>
      </c>
      <c r="N29" s="40">
        <f>3</f>
        <v>3</v>
      </c>
      <c r="O29" s="28"/>
      <c r="P29" s="28"/>
      <c r="Q29" s="27">
        <f>O29-P29</f>
        <v>0</v>
      </c>
    </row>
    <row r="30" spans="1:17" s="3" customFormat="1" x14ac:dyDescent="0.25">
      <c r="A30" s="66"/>
      <c r="B30" s="7" t="s">
        <v>158</v>
      </c>
      <c r="C30" s="48" t="s">
        <v>17</v>
      </c>
      <c r="D30" s="49"/>
      <c r="E30" s="50" t="s">
        <v>20</v>
      </c>
      <c r="F30" s="22"/>
      <c r="G30" s="23" t="s">
        <v>102</v>
      </c>
      <c r="H30" s="24"/>
      <c r="I30" s="25"/>
      <c r="J30" s="37"/>
      <c r="K30" s="26"/>
      <c r="L30" s="26"/>
      <c r="M30" s="62">
        <f t="shared" si="2"/>
        <v>0</v>
      </c>
      <c r="N30" s="40"/>
      <c r="O30" s="28"/>
      <c r="P30" s="28"/>
      <c r="Q30" s="27">
        <f t="shared" si="1"/>
        <v>0</v>
      </c>
    </row>
    <row r="31" spans="1:17" s="3" customFormat="1" x14ac:dyDescent="0.25">
      <c r="A31" s="66"/>
      <c r="B31" s="7" t="s">
        <v>158</v>
      </c>
      <c r="C31" s="48" t="s">
        <v>17</v>
      </c>
      <c r="D31" s="49"/>
      <c r="E31" s="50" t="s">
        <v>20</v>
      </c>
      <c r="F31" s="22"/>
      <c r="G31" s="23" t="s">
        <v>104</v>
      </c>
      <c r="H31" s="24">
        <v>1</v>
      </c>
      <c r="I31" s="25"/>
      <c r="J31" s="37"/>
      <c r="K31" s="26"/>
      <c r="L31" s="26"/>
      <c r="M31" s="62">
        <f t="shared" si="2"/>
        <v>0</v>
      </c>
      <c r="N31" s="40">
        <f>1</f>
        <v>1</v>
      </c>
      <c r="O31" s="28"/>
      <c r="P31" s="28"/>
      <c r="Q31" s="69">
        <f t="shared" si="1"/>
        <v>0</v>
      </c>
    </row>
    <row r="32" spans="1:17" s="3" customFormat="1" x14ac:dyDescent="0.25">
      <c r="A32" s="66"/>
      <c r="B32" s="7" t="s">
        <v>158</v>
      </c>
      <c r="C32" s="48" t="s">
        <v>17</v>
      </c>
      <c r="D32" s="49"/>
      <c r="E32" s="50"/>
      <c r="F32" s="22"/>
      <c r="G32" s="72" t="s">
        <v>107</v>
      </c>
      <c r="H32" s="24"/>
      <c r="I32" s="25"/>
      <c r="J32" s="37"/>
      <c r="K32" s="26"/>
      <c r="L32" s="26"/>
      <c r="M32" s="62">
        <f t="shared" si="2"/>
        <v>0</v>
      </c>
      <c r="N32" s="40"/>
      <c r="O32" s="28"/>
      <c r="P32" s="28"/>
      <c r="Q32" s="69">
        <f t="shared" si="1"/>
        <v>0</v>
      </c>
    </row>
    <row r="33" spans="1:17" s="3" customFormat="1" x14ac:dyDescent="0.25">
      <c r="A33" s="66"/>
      <c r="B33" s="8" t="s">
        <v>31</v>
      </c>
      <c r="C33" s="48" t="s">
        <v>17</v>
      </c>
      <c r="D33" s="49"/>
      <c r="E33" s="50" t="s">
        <v>32</v>
      </c>
      <c r="F33" s="22"/>
      <c r="G33" s="23" t="s">
        <v>102</v>
      </c>
      <c r="H33" s="24"/>
      <c r="I33" s="25"/>
      <c r="J33" s="37"/>
      <c r="K33" s="26"/>
      <c r="L33" s="26"/>
      <c r="M33" s="62">
        <f t="shared" si="2"/>
        <v>0</v>
      </c>
      <c r="N33" s="40">
        <f>2</f>
        <v>2</v>
      </c>
      <c r="O33" s="28"/>
      <c r="P33" s="28"/>
      <c r="Q33" s="69">
        <f t="shared" si="1"/>
        <v>0</v>
      </c>
    </row>
    <row r="34" spans="1:17" s="3" customFormat="1" x14ac:dyDescent="0.25">
      <c r="A34" s="66"/>
      <c r="B34" s="8" t="s">
        <v>31</v>
      </c>
      <c r="C34" s="48" t="s">
        <v>17</v>
      </c>
      <c r="D34" s="49"/>
      <c r="E34" s="50" t="s">
        <v>32</v>
      </c>
      <c r="F34" s="22"/>
      <c r="G34" s="72" t="s">
        <v>107</v>
      </c>
      <c r="H34" s="48"/>
      <c r="I34" s="68"/>
      <c r="J34" s="37"/>
      <c r="K34" s="26"/>
      <c r="L34" s="26"/>
      <c r="M34" s="62">
        <f t="shared" si="2"/>
        <v>0</v>
      </c>
      <c r="N34" s="40">
        <f>1</f>
        <v>1</v>
      </c>
      <c r="O34" s="26"/>
      <c r="P34" s="26"/>
      <c r="Q34" s="69">
        <f t="shared" si="1"/>
        <v>0</v>
      </c>
    </row>
    <row r="35" spans="1:17" s="4" customFormat="1" x14ac:dyDescent="0.25">
      <c r="A35" s="66"/>
      <c r="B35" s="11" t="s">
        <v>33</v>
      </c>
      <c r="C35" s="48" t="s">
        <v>17</v>
      </c>
      <c r="D35" s="49"/>
      <c r="E35" s="50" t="s">
        <v>20</v>
      </c>
      <c r="F35" s="22"/>
      <c r="G35" s="23" t="s">
        <v>102</v>
      </c>
      <c r="H35" s="24"/>
      <c r="I35" s="25"/>
      <c r="J35" s="37"/>
      <c r="K35" s="26"/>
      <c r="L35" s="26"/>
      <c r="M35" s="62">
        <f t="shared" si="2"/>
        <v>0</v>
      </c>
      <c r="N35" s="40">
        <f>1</f>
        <v>1</v>
      </c>
      <c r="O35" s="28"/>
      <c r="P35" s="28"/>
      <c r="Q35" s="27">
        <f t="shared" si="1"/>
        <v>0</v>
      </c>
    </row>
    <row r="36" spans="1:17" s="4" customFormat="1" x14ac:dyDescent="0.25">
      <c r="A36" s="66"/>
      <c r="B36" s="11" t="s">
        <v>33</v>
      </c>
      <c r="C36" s="48" t="s">
        <v>17</v>
      </c>
      <c r="D36" s="49"/>
      <c r="E36" s="50" t="s">
        <v>20</v>
      </c>
      <c r="F36" s="22"/>
      <c r="G36" s="67" t="s">
        <v>104</v>
      </c>
      <c r="H36" s="48"/>
      <c r="I36" s="68"/>
      <c r="J36" s="52"/>
      <c r="K36" s="26"/>
      <c r="L36" s="26"/>
      <c r="M36" s="62">
        <f t="shared" si="2"/>
        <v>0</v>
      </c>
      <c r="N36" s="40"/>
      <c r="O36" s="62"/>
      <c r="P36" s="62"/>
      <c r="Q36" s="69">
        <f t="shared" si="1"/>
        <v>0</v>
      </c>
    </row>
    <row r="37" spans="1:17" s="4" customFormat="1" x14ac:dyDescent="0.25">
      <c r="A37" s="66"/>
      <c r="B37" s="11" t="s">
        <v>122</v>
      </c>
      <c r="C37" s="48" t="s">
        <v>17</v>
      </c>
      <c r="D37" s="49"/>
      <c r="E37" s="50" t="s">
        <v>29</v>
      </c>
      <c r="F37" s="51" t="s">
        <v>181</v>
      </c>
      <c r="G37" s="23" t="s">
        <v>102</v>
      </c>
      <c r="H37" s="24">
        <v>1</v>
      </c>
      <c r="I37" s="71"/>
      <c r="J37" s="37"/>
      <c r="K37" s="26"/>
      <c r="L37" s="26"/>
      <c r="M37" s="62">
        <f t="shared" si="2"/>
        <v>0</v>
      </c>
      <c r="N37" s="43">
        <f>1</f>
        <v>1</v>
      </c>
      <c r="O37" s="28"/>
      <c r="P37" s="28"/>
      <c r="Q37" s="27">
        <f t="shared" si="1"/>
        <v>0</v>
      </c>
    </row>
    <row r="38" spans="1:17" s="4" customFormat="1" x14ac:dyDescent="0.25">
      <c r="A38" s="66"/>
      <c r="B38" s="70" t="s">
        <v>122</v>
      </c>
      <c r="C38" s="48" t="s">
        <v>17</v>
      </c>
      <c r="D38" s="49"/>
      <c r="E38" s="50" t="s">
        <v>29</v>
      </c>
      <c r="F38" s="22"/>
      <c r="G38" s="67" t="s">
        <v>107</v>
      </c>
      <c r="H38" s="48">
        <v>1</v>
      </c>
      <c r="I38" s="68"/>
      <c r="J38" s="37"/>
      <c r="K38" s="26"/>
      <c r="L38" s="26"/>
      <c r="M38" s="62">
        <f t="shared" si="2"/>
        <v>0</v>
      </c>
      <c r="N38" s="40"/>
      <c r="O38" s="62"/>
      <c r="P38" s="62"/>
      <c r="Q38" s="69">
        <f t="shared" si="1"/>
        <v>0</v>
      </c>
    </row>
    <row r="39" spans="1:17" s="3" customFormat="1" x14ac:dyDescent="0.25">
      <c r="A39" s="66"/>
      <c r="B39" s="11" t="s">
        <v>34</v>
      </c>
      <c r="C39" s="48" t="s">
        <v>17</v>
      </c>
      <c r="D39" s="49"/>
      <c r="E39" s="54" t="s">
        <v>35</v>
      </c>
      <c r="F39" s="22"/>
      <c r="G39" s="23" t="s">
        <v>102</v>
      </c>
      <c r="H39" s="24">
        <v>1</v>
      </c>
      <c r="I39" s="25"/>
      <c r="J39" s="37"/>
      <c r="K39" s="26"/>
      <c r="L39" s="26"/>
      <c r="M39" s="62">
        <f t="shared" si="2"/>
        <v>0</v>
      </c>
      <c r="N39" s="40">
        <f>3</f>
        <v>3</v>
      </c>
      <c r="O39" s="28"/>
      <c r="P39" s="28"/>
      <c r="Q39" s="27">
        <f t="shared" si="1"/>
        <v>0</v>
      </c>
    </row>
    <row r="40" spans="1:17" s="3" customFormat="1" x14ac:dyDescent="0.25">
      <c r="A40" s="66"/>
      <c r="B40" s="11" t="s">
        <v>34</v>
      </c>
      <c r="C40" s="48" t="s">
        <v>17</v>
      </c>
      <c r="D40" s="49"/>
      <c r="E40" s="54" t="s">
        <v>35</v>
      </c>
      <c r="F40" s="22"/>
      <c r="G40" s="72" t="s">
        <v>107</v>
      </c>
      <c r="H40" s="48"/>
      <c r="I40" s="68"/>
      <c r="J40" s="37"/>
      <c r="K40" s="26"/>
      <c r="L40" s="26"/>
      <c r="M40" s="62">
        <f t="shared" si="2"/>
        <v>0</v>
      </c>
      <c r="N40" s="40"/>
      <c r="O40" s="62"/>
      <c r="P40" s="62"/>
      <c r="Q40" s="69">
        <f t="shared" si="1"/>
        <v>0</v>
      </c>
    </row>
    <row r="41" spans="1:17" s="3" customFormat="1" x14ac:dyDescent="0.25">
      <c r="A41" s="66"/>
      <c r="B41" s="7" t="s">
        <v>36</v>
      </c>
      <c r="C41" s="48" t="s">
        <v>17</v>
      </c>
      <c r="D41" s="49"/>
      <c r="E41" s="54" t="s">
        <v>32</v>
      </c>
      <c r="F41" s="22"/>
      <c r="G41" s="23" t="s">
        <v>102</v>
      </c>
      <c r="H41" s="24"/>
      <c r="I41" s="25"/>
      <c r="J41" s="37"/>
      <c r="K41" s="26"/>
      <c r="L41" s="26"/>
      <c r="M41" s="62">
        <f t="shared" si="2"/>
        <v>0</v>
      </c>
      <c r="N41" s="40">
        <f>3</f>
        <v>3</v>
      </c>
      <c r="O41" s="28"/>
      <c r="P41" s="28"/>
      <c r="Q41" s="27">
        <f t="shared" si="1"/>
        <v>0</v>
      </c>
    </row>
    <row r="42" spans="1:17" s="3" customFormat="1" x14ac:dyDescent="0.25">
      <c r="A42" s="66"/>
      <c r="B42" s="7" t="s">
        <v>37</v>
      </c>
      <c r="C42" s="48" t="s">
        <v>17</v>
      </c>
      <c r="D42" s="49"/>
      <c r="E42" s="50" t="s">
        <v>20</v>
      </c>
      <c r="F42" s="51" t="s">
        <v>182</v>
      </c>
      <c r="G42" s="23" t="s">
        <v>102</v>
      </c>
      <c r="H42" s="24">
        <v>2</v>
      </c>
      <c r="I42" s="25"/>
      <c r="J42" s="37"/>
      <c r="K42" s="26"/>
      <c r="L42" s="26"/>
      <c r="M42" s="62">
        <f t="shared" si="2"/>
        <v>0</v>
      </c>
      <c r="N42" s="40">
        <f>1</f>
        <v>1</v>
      </c>
      <c r="O42" s="28"/>
      <c r="P42" s="28"/>
      <c r="Q42" s="27">
        <f t="shared" si="1"/>
        <v>0</v>
      </c>
    </row>
    <row r="43" spans="1:17" s="3" customFormat="1" x14ac:dyDescent="0.25">
      <c r="A43" s="66"/>
      <c r="B43" s="7" t="s">
        <v>37</v>
      </c>
      <c r="C43" s="48" t="s">
        <v>17</v>
      </c>
      <c r="D43" s="49"/>
      <c r="E43" s="50" t="s">
        <v>20</v>
      </c>
      <c r="F43" s="22"/>
      <c r="G43" s="67" t="s">
        <v>104</v>
      </c>
      <c r="H43" s="48"/>
      <c r="I43" s="68"/>
      <c r="J43" s="52"/>
      <c r="K43" s="26"/>
      <c r="L43" s="26"/>
      <c r="M43" s="62">
        <f t="shared" si="2"/>
        <v>0</v>
      </c>
      <c r="N43" s="40"/>
      <c r="O43" s="62"/>
      <c r="P43" s="62"/>
      <c r="Q43" s="69">
        <f t="shared" si="1"/>
        <v>0</v>
      </c>
    </row>
    <row r="44" spans="1:17" s="3" customFormat="1" x14ac:dyDescent="0.25">
      <c r="A44" s="66"/>
      <c r="B44" s="7" t="s">
        <v>37</v>
      </c>
      <c r="C44" s="48" t="s">
        <v>17</v>
      </c>
      <c r="D44" s="49"/>
      <c r="E44" s="50" t="s">
        <v>18</v>
      </c>
      <c r="F44" s="22"/>
      <c r="G44" s="67" t="s">
        <v>106</v>
      </c>
      <c r="H44" s="48"/>
      <c r="I44" s="68"/>
      <c r="J44" s="52"/>
      <c r="K44" s="26"/>
      <c r="L44" s="26"/>
      <c r="M44" s="62">
        <f t="shared" si="2"/>
        <v>0</v>
      </c>
      <c r="N44" s="40"/>
      <c r="O44" s="62"/>
      <c r="P44" s="62"/>
      <c r="Q44" s="69">
        <f t="shared" si="1"/>
        <v>0</v>
      </c>
    </row>
    <row r="45" spans="1:17" s="3" customFormat="1" x14ac:dyDescent="0.25">
      <c r="A45" s="66"/>
      <c r="B45" s="11" t="s">
        <v>38</v>
      </c>
      <c r="C45" s="48" t="s">
        <v>17</v>
      </c>
      <c r="D45" s="49"/>
      <c r="E45" s="50" t="s">
        <v>20</v>
      </c>
      <c r="F45" s="22"/>
      <c r="G45" s="67" t="s">
        <v>104</v>
      </c>
      <c r="H45" s="48"/>
      <c r="I45" s="68"/>
      <c r="J45" s="52"/>
      <c r="K45" s="26"/>
      <c r="L45" s="26"/>
      <c r="M45" s="62">
        <f t="shared" si="2"/>
        <v>0</v>
      </c>
      <c r="N45" s="40"/>
      <c r="O45" s="62"/>
      <c r="P45" s="62"/>
      <c r="Q45" s="69">
        <f t="shared" si="1"/>
        <v>0</v>
      </c>
    </row>
    <row r="46" spans="1:17" s="3" customFormat="1" x14ac:dyDescent="0.25">
      <c r="A46" s="66"/>
      <c r="B46" s="7" t="s">
        <v>39</v>
      </c>
      <c r="C46" s="48" t="s">
        <v>17</v>
      </c>
      <c r="D46" s="49"/>
      <c r="E46" s="54" t="s">
        <v>40</v>
      </c>
      <c r="F46" s="51" t="s">
        <v>183</v>
      </c>
      <c r="G46" s="23" t="s">
        <v>102</v>
      </c>
      <c r="H46" s="24"/>
      <c r="I46" s="25"/>
      <c r="J46" s="37"/>
      <c r="K46" s="26"/>
      <c r="L46" s="26"/>
      <c r="M46" s="62">
        <f t="shared" si="2"/>
        <v>0</v>
      </c>
      <c r="N46" s="40">
        <f>2+6</f>
        <v>8</v>
      </c>
      <c r="O46" s="28"/>
      <c r="P46" s="28"/>
      <c r="Q46" s="27">
        <f t="shared" si="1"/>
        <v>0</v>
      </c>
    </row>
    <row r="47" spans="1:17" s="3" customFormat="1" x14ac:dyDescent="0.25">
      <c r="A47" s="66"/>
      <c r="B47" s="7" t="s">
        <v>39</v>
      </c>
      <c r="C47" s="48" t="s">
        <v>17</v>
      </c>
      <c r="D47" s="49"/>
      <c r="E47" s="54" t="s">
        <v>40</v>
      </c>
      <c r="F47" s="22"/>
      <c r="G47" s="67" t="s">
        <v>104</v>
      </c>
      <c r="H47" s="48"/>
      <c r="I47" s="68"/>
      <c r="J47" s="52"/>
      <c r="K47" s="26"/>
      <c r="L47" s="26"/>
      <c r="M47" s="62">
        <f t="shared" si="2"/>
        <v>0</v>
      </c>
      <c r="N47" s="40"/>
      <c r="O47" s="62"/>
      <c r="P47" s="62"/>
      <c r="Q47" s="69">
        <f t="shared" si="1"/>
        <v>0</v>
      </c>
    </row>
    <row r="48" spans="1:17" s="3" customFormat="1" x14ac:dyDescent="0.25">
      <c r="A48" s="66"/>
      <c r="B48" s="7" t="s">
        <v>123</v>
      </c>
      <c r="C48" s="48" t="s">
        <v>17</v>
      </c>
      <c r="D48" s="49"/>
      <c r="E48" s="50" t="s">
        <v>20</v>
      </c>
      <c r="F48" s="22"/>
      <c r="G48" s="23" t="s">
        <v>102</v>
      </c>
      <c r="H48" s="24">
        <v>2</v>
      </c>
      <c r="I48" s="29"/>
      <c r="J48" s="37"/>
      <c r="K48" s="26"/>
      <c r="L48" s="26"/>
      <c r="M48" s="62">
        <f t="shared" si="2"/>
        <v>0</v>
      </c>
      <c r="N48" s="40">
        <f>2</f>
        <v>2</v>
      </c>
      <c r="O48" s="28"/>
      <c r="P48" s="28"/>
      <c r="Q48" s="27">
        <f t="shared" si="1"/>
        <v>0</v>
      </c>
    </row>
    <row r="49" spans="1:20" s="3" customFormat="1" x14ac:dyDescent="0.25">
      <c r="A49" s="66"/>
      <c r="B49" s="7" t="s">
        <v>123</v>
      </c>
      <c r="C49" s="48" t="s">
        <v>17</v>
      </c>
      <c r="D49" s="49"/>
      <c r="E49" s="54" t="s">
        <v>32</v>
      </c>
      <c r="F49" s="22"/>
      <c r="G49" s="67" t="s">
        <v>107</v>
      </c>
      <c r="H49" s="48"/>
      <c r="I49" s="68"/>
      <c r="J49" s="37"/>
      <c r="K49" s="26"/>
      <c r="L49" s="26"/>
      <c r="M49" s="62">
        <f t="shared" si="2"/>
        <v>0</v>
      </c>
      <c r="N49" s="40"/>
      <c r="O49" s="62"/>
      <c r="P49" s="62"/>
      <c r="Q49" s="69">
        <f t="shared" si="1"/>
        <v>0</v>
      </c>
    </row>
    <row r="50" spans="1:20" s="3" customFormat="1" x14ac:dyDescent="0.25">
      <c r="A50" s="66"/>
      <c r="B50" s="8" t="s">
        <v>41</v>
      </c>
      <c r="C50" s="48" t="s">
        <v>17</v>
      </c>
      <c r="D50" s="49"/>
      <c r="E50" s="50" t="s">
        <v>23</v>
      </c>
      <c r="F50" s="22"/>
      <c r="G50" s="23" t="s">
        <v>102</v>
      </c>
      <c r="H50" s="24"/>
      <c r="I50" s="25"/>
      <c r="J50" s="37"/>
      <c r="K50" s="26"/>
      <c r="L50" s="26"/>
      <c r="M50" s="62">
        <f t="shared" si="2"/>
        <v>0</v>
      </c>
      <c r="N50" s="40"/>
      <c r="O50" s="28"/>
      <c r="P50" s="28"/>
      <c r="Q50" s="27">
        <f t="shared" si="1"/>
        <v>0</v>
      </c>
    </row>
    <row r="51" spans="1:20" s="3" customFormat="1" x14ac:dyDescent="0.25">
      <c r="A51" s="66"/>
      <c r="B51" s="8" t="s">
        <v>41</v>
      </c>
      <c r="C51" s="48" t="s">
        <v>17</v>
      </c>
      <c r="D51" s="49"/>
      <c r="E51" s="50" t="s">
        <v>23</v>
      </c>
      <c r="F51" s="22"/>
      <c r="G51" s="67" t="s">
        <v>108</v>
      </c>
      <c r="H51" s="48"/>
      <c r="I51" s="68"/>
      <c r="J51" s="37"/>
      <c r="K51" s="26"/>
      <c r="L51" s="26"/>
      <c r="M51" s="62">
        <f t="shared" si="2"/>
        <v>0</v>
      </c>
      <c r="N51" s="40"/>
      <c r="O51" s="62"/>
      <c r="P51" s="62"/>
      <c r="Q51" s="69">
        <f t="shared" si="1"/>
        <v>0</v>
      </c>
      <c r="T51" s="106"/>
    </row>
    <row r="52" spans="1:20" s="3" customFormat="1" x14ac:dyDescent="0.25">
      <c r="A52" s="66"/>
      <c r="B52" s="8" t="s">
        <v>134</v>
      </c>
      <c r="C52" s="48" t="s">
        <v>17</v>
      </c>
      <c r="D52" s="49"/>
      <c r="E52" s="67" t="s">
        <v>108</v>
      </c>
      <c r="F52" s="22"/>
      <c r="G52" s="23" t="s">
        <v>102</v>
      </c>
      <c r="H52" s="24"/>
      <c r="I52" s="25"/>
      <c r="J52" s="37"/>
      <c r="K52" s="26"/>
      <c r="L52" s="26"/>
      <c r="M52" s="62">
        <f t="shared" si="2"/>
        <v>0</v>
      </c>
      <c r="N52" s="40"/>
      <c r="O52" s="28"/>
      <c r="P52" s="28"/>
      <c r="Q52" s="27">
        <f t="shared" si="1"/>
        <v>0</v>
      </c>
    </row>
    <row r="53" spans="1:20" s="3" customFormat="1" x14ac:dyDescent="0.25">
      <c r="A53" s="66"/>
      <c r="B53" s="11" t="s">
        <v>118</v>
      </c>
      <c r="C53" s="48" t="s">
        <v>62</v>
      </c>
      <c r="D53" s="49" t="s">
        <v>151</v>
      </c>
      <c r="E53" s="50" t="s">
        <v>20</v>
      </c>
      <c r="F53" s="22"/>
      <c r="G53" s="67" t="s">
        <v>104</v>
      </c>
      <c r="H53" s="48">
        <v>1</v>
      </c>
      <c r="I53" s="71"/>
      <c r="J53" s="52"/>
      <c r="K53" s="53"/>
      <c r="L53" s="53"/>
      <c r="M53" s="62">
        <f t="shared" si="2"/>
        <v>0</v>
      </c>
      <c r="N53" s="43"/>
      <c r="O53" s="62"/>
      <c r="P53" s="62"/>
      <c r="Q53" s="69">
        <f t="shared" si="1"/>
        <v>0</v>
      </c>
    </row>
    <row r="54" spans="1:20" s="3" customFormat="1" x14ac:dyDescent="0.25">
      <c r="A54" s="66"/>
      <c r="B54" s="8" t="s">
        <v>133</v>
      </c>
      <c r="C54" s="48" t="s">
        <v>17</v>
      </c>
      <c r="D54" s="49"/>
      <c r="E54" s="54" t="s">
        <v>32</v>
      </c>
      <c r="F54" s="22"/>
      <c r="G54" s="67" t="s">
        <v>107</v>
      </c>
      <c r="H54" s="48">
        <v>1</v>
      </c>
      <c r="I54" s="71"/>
      <c r="J54" s="52"/>
      <c r="K54" s="53"/>
      <c r="L54" s="53"/>
      <c r="M54" s="62">
        <f t="shared" si="2"/>
        <v>0</v>
      </c>
      <c r="N54" s="43"/>
      <c r="O54" s="62"/>
      <c r="P54" s="62"/>
      <c r="Q54" s="69">
        <f t="shared" si="1"/>
        <v>0</v>
      </c>
    </row>
    <row r="55" spans="1:20" s="4" customFormat="1" x14ac:dyDescent="0.25">
      <c r="A55" s="66"/>
      <c r="B55" s="11" t="s">
        <v>42</v>
      </c>
      <c r="C55" s="48" t="s">
        <v>17</v>
      </c>
      <c r="D55" s="49"/>
      <c r="E55" s="50" t="s">
        <v>18</v>
      </c>
      <c r="F55" s="22"/>
      <c r="G55" s="23" t="s">
        <v>102</v>
      </c>
      <c r="H55" s="24">
        <v>2</v>
      </c>
      <c r="I55" s="25"/>
      <c r="J55" s="37"/>
      <c r="K55" s="26"/>
      <c r="L55" s="26"/>
      <c r="M55" s="62">
        <f t="shared" si="2"/>
        <v>0</v>
      </c>
      <c r="N55" s="40"/>
      <c r="O55" s="28"/>
      <c r="P55" s="28"/>
      <c r="Q55" s="27">
        <f t="shared" si="1"/>
        <v>0</v>
      </c>
    </row>
    <row r="56" spans="1:20" s="4" customFormat="1" ht="30" x14ac:dyDescent="0.25">
      <c r="A56" s="66"/>
      <c r="B56" s="11" t="s">
        <v>42</v>
      </c>
      <c r="C56" s="48" t="s">
        <v>135</v>
      </c>
      <c r="D56" s="49" t="s">
        <v>153</v>
      </c>
      <c r="E56" s="50" t="s">
        <v>18</v>
      </c>
      <c r="F56" s="22"/>
      <c r="G56" s="80" t="s">
        <v>106</v>
      </c>
      <c r="H56" s="48">
        <v>1</v>
      </c>
      <c r="I56" s="71"/>
      <c r="J56" s="38"/>
      <c r="K56" s="26"/>
      <c r="L56" s="26"/>
      <c r="M56" s="62">
        <f t="shared" si="2"/>
        <v>0</v>
      </c>
      <c r="N56" s="43"/>
      <c r="O56" s="62"/>
      <c r="P56" s="62"/>
      <c r="Q56" s="69">
        <f t="shared" si="1"/>
        <v>0</v>
      </c>
    </row>
    <row r="57" spans="1:20" s="3" customFormat="1" x14ac:dyDescent="0.25">
      <c r="A57" s="66"/>
      <c r="B57" s="8" t="s">
        <v>43</v>
      </c>
      <c r="C57" s="48" t="s">
        <v>17</v>
      </c>
      <c r="D57" s="49"/>
      <c r="E57" s="50" t="s">
        <v>20</v>
      </c>
      <c r="F57" s="51" t="s">
        <v>184</v>
      </c>
      <c r="G57" s="23" t="s">
        <v>102</v>
      </c>
      <c r="H57" s="24">
        <v>2</v>
      </c>
      <c r="I57" s="25"/>
      <c r="J57" s="37"/>
      <c r="K57" s="26"/>
      <c r="L57" s="26"/>
      <c r="M57" s="62">
        <f t="shared" si="2"/>
        <v>0</v>
      </c>
      <c r="N57" s="40">
        <f>1</f>
        <v>1</v>
      </c>
      <c r="O57" s="28"/>
      <c r="P57" s="28"/>
      <c r="Q57" s="27">
        <f t="shared" si="1"/>
        <v>0</v>
      </c>
    </row>
    <row r="58" spans="1:20" s="3" customFormat="1" x14ac:dyDescent="0.25">
      <c r="A58" s="66"/>
      <c r="B58" s="8" t="s">
        <v>43</v>
      </c>
      <c r="C58" s="48" t="s">
        <v>17</v>
      </c>
      <c r="D58" s="49"/>
      <c r="E58" s="50" t="s">
        <v>20</v>
      </c>
      <c r="F58" s="22"/>
      <c r="G58" s="67" t="s">
        <v>104</v>
      </c>
      <c r="H58" s="48"/>
      <c r="I58" s="68"/>
      <c r="J58" s="52"/>
      <c r="K58" s="26"/>
      <c r="L58" s="26"/>
      <c r="M58" s="62">
        <f t="shared" si="2"/>
        <v>0</v>
      </c>
      <c r="N58" s="40"/>
      <c r="O58" s="62"/>
      <c r="P58" s="62"/>
      <c r="Q58" s="69">
        <f t="shared" si="1"/>
        <v>0</v>
      </c>
    </row>
    <row r="59" spans="1:20" s="3" customFormat="1" x14ac:dyDescent="0.25">
      <c r="A59" s="66"/>
      <c r="B59" s="8" t="s">
        <v>159</v>
      </c>
      <c r="C59" s="48" t="s">
        <v>17</v>
      </c>
      <c r="D59" s="49"/>
      <c r="E59" s="50" t="s">
        <v>20</v>
      </c>
      <c r="F59" s="22"/>
      <c r="G59" s="67" t="s">
        <v>102</v>
      </c>
      <c r="H59" s="48"/>
      <c r="I59" s="68"/>
      <c r="J59" s="52"/>
      <c r="K59" s="26"/>
      <c r="L59" s="26"/>
      <c r="M59" s="62">
        <f t="shared" si="2"/>
        <v>0</v>
      </c>
      <c r="N59" s="40"/>
      <c r="O59" s="62"/>
      <c r="P59" s="62"/>
      <c r="Q59" s="27">
        <f t="shared" si="1"/>
        <v>0</v>
      </c>
    </row>
    <row r="60" spans="1:20" s="3" customFormat="1" x14ac:dyDescent="0.25">
      <c r="A60" s="66"/>
      <c r="B60" s="7" t="s">
        <v>44</v>
      </c>
      <c r="C60" s="48" t="s">
        <v>17</v>
      </c>
      <c r="D60" s="49"/>
      <c r="E60" s="50" t="s">
        <v>20</v>
      </c>
      <c r="F60" s="22"/>
      <c r="G60" s="23" t="s">
        <v>102</v>
      </c>
      <c r="H60" s="24"/>
      <c r="I60" s="25"/>
      <c r="J60" s="37"/>
      <c r="K60" s="26"/>
      <c r="L60" s="26"/>
      <c r="M60" s="62">
        <f t="shared" si="2"/>
        <v>0</v>
      </c>
      <c r="N60" s="40"/>
      <c r="O60" s="28"/>
      <c r="P60" s="28"/>
      <c r="Q60" s="27">
        <f t="shared" si="1"/>
        <v>0</v>
      </c>
    </row>
    <row r="61" spans="1:20" s="3" customFormat="1" x14ac:dyDescent="0.25">
      <c r="A61" s="66"/>
      <c r="B61" s="7" t="s">
        <v>44</v>
      </c>
      <c r="C61" s="48" t="s">
        <v>17</v>
      </c>
      <c r="D61" s="49"/>
      <c r="E61" s="50" t="s">
        <v>20</v>
      </c>
      <c r="F61" s="22"/>
      <c r="G61" s="67" t="s">
        <v>104</v>
      </c>
      <c r="H61" s="48"/>
      <c r="I61" s="68"/>
      <c r="J61" s="52"/>
      <c r="K61" s="26"/>
      <c r="L61" s="26"/>
      <c r="M61" s="62">
        <f t="shared" si="2"/>
        <v>0</v>
      </c>
      <c r="N61" s="40"/>
      <c r="O61" s="62"/>
      <c r="P61" s="62"/>
      <c r="Q61" s="69">
        <f t="shared" si="1"/>
        <v>0</v>
      </c>
    </row>
    <row r="62" spans="1:20" s="4" customFormat="1" x14ac:dyDescent="0.25">
      <c r="A62" s="66"/>
      <c r="B62" s="7" t="s">
        <v>45</v>
      </c>
      <c r="C62" s="48" t="s">
        <v>17</v>
      </c>
      <c r="D62" s="49"/>
      <c r="E62" s="50" t="s">
        <v>20</v>
      </c>
      <c r="F62" s="51" t="s">
        <v>185</v>
      </c>
      <c r="G62" s="23" t="s">
        <v>102</v>
      </c>
      <c r="H62" s="24">
        <v>3</v>
      </c>
      <c r="I62" s="25">
        <v>2</v>
      </c>
      <c r="J62" s="37">
        <f>2</f>
        <v>2</v>
      </c>
      <c r="K62" s="26"/>
      <c r="L62" s="26"/>
      <c r="M62" s="62">
        <f t="shared" si="2"/>
        <v>0</v>
      </c>
      <c r="N62" s="40">
        <f>4+2</f>
        <v>6</v>
      </c>
      <c r="O62" s="28"/>
      <c r="P62" s="28"/>
      <c r="Q62" s="27">
        <f t="shared" si="1"/>
        <v>0</v>
      </c>
    </row>
    <row r="63" spans="1:20" s="4" customFormat="1" x14ac:dyDescent="0.25">
      <c r="A63" s="66"/>
      <c r="B63" s="7" t="s">
        <v>45</v>
      </c>
      <c r="C63" s="48" t="s">
        <v>17</v>
      </c>
      <c r="D63" s="49"/>
      <c r="E63" s="50" t="s">
        <v>20</v>
      </c>
      <c r="F63" s="22"/>
      <c r="G63" s="67" t="s">
        <v>104</v>
      </c>
      <c r="H63" s="48"/>
      <c r="I63" s="68"/>
      <c r="J63" s="52"/>
      <c r="K63" s="26"/>
      <c r="L63" s="26"/>
      <c r="M63" s="62">
        <f t="shared" si="2"/>
        <v>0</v>
      </c>
      <c r="N63" s="40"/>
      <c r="O63" s="62"/>
      <c r="P63" s="62"/>
      <c r="Q63" s="69">
        <f t="shared" si="1"/>
        <v>0</v>
      </c>
    </row>
    <row r="64" spans="1:20" s="3" customFormat="1" ht="45" x14ac:dyDescent="0.25">
      <c r="A64" s="66"/>
      <c r="B64" s="8" t="s">
        <v>46</v>
      </c>
      <c r="C64" s="48" t="s">
        <v>135</v>
      </c>
      <c r="D64" s="49" t="s">
        <v>154</v>
      </c>
      <c r="E64" s="50" t="s">
        <v>18</v>
      </c>
      <c r="F64" s="22"/>
      <c r="G64" s="23" t="s">
        <v>102</v>
      </c>
      <c r="H64" s="24">
        <v>3</v>
      </c>
      <c r="I64" s="25"/>
      <c r="J64" s="38"/>
      <c r="K64" s="26"/>
      <c r="L64" s="26"/>
      <c r="M64" s="62">
        <f t="shared" si="2"/>
        <v>0</v>
      </c>
      <c r="N64" s="40"/>
      <c r="O64" s="28"/>
      <c r="P64" s="28"/>
      <c r="Q64" s="27">
        <f t="shared" si="1"/>
        <v>0</v>
      </c>
    </row>
    <row r="65" spans="1:20" s="3" customFormat="1" ht="45" x14ac:dyDescent="0.25">
      <c r="A65" s="66">
        <v>22</v>
      </c>
      <c r="B65" s="11" t="s">
        <v>109</v>
      </c>
      <c r="C65" s="48" t="s">
        <v>135</v>
      </c>
      <c r="D65" s="49" t="s">
        <v>154</v>
      </c>
      <c r="E65" s="50" t="s">
        <v>18</v>
      </c>
      <c r="F65" s="22"/>
      <c r="G65" s="67" t="s">
        <v>106</v>
      </c>
      <c r="H65" s="48">
        <v>1</v>
      </c>
      <c r="I65" s="71"/>
      <c r="J65" s="38"/>
      <c r="K65" s="26"/>
      <c r="L65" s="26"/>
      <c r="M65" s="62">
        <f t="shared" si="2"/>
        <v>0</v>
      </c>
      <c r="N65" s="40"/>
      <c r="O65" s="62"/>
      <c r="P65" s="62"/>
      <c r="Q65" s="69">
        <f t="shared" si="1"/>
        <v>0</v>
      </c>
    </row>
    <row r="66" spans="1:20" s="3" customFormat="1" x14ac:dyDescent="0.25">
      <c r="A66" s="66"/>
      <c r="B66" s="8" t="s">
        <v>114</v>
      </c>
      <c r="C66" s="48" t="s">
        <v>17</v>
      </c>
      <c r="D66" s="49"/>
      <c r="E66" s="50" t="s">
        <v>20</v>
      </c>
      <c r="F66" s="51" t="s">
        <v>186</v>
      </c>
      <c r="G66" s="23" t="s">
        <v>102</v>
      </c>
      <c r="H66" s="24"/>
      <c r="I66" s="25"/>
      <c r="J66" s="37"/>
      <c r="K66" s="26"/>
      <c r="L66" s="26"/>
      <c r="M66" s="62">
        <f t="shared" si="2"/>
        <v>0</v>
      </c>
      <c r="N66" s="40"/>
      <c r="O66" s="28"/>
      <c r="P66" s="28"/>
      <c r="Q66" s="27">
        <f t="shared" si="1"/>
        <v>0</v>
      </c>
    </row>
    <row r="67" spans="1:20" s="3" customFormat="1" x14ac:dyDescent="0.25">
      <c r="A67" s="66"/>
      <c r="B67" s="8" t="s">
        <v>114</v>
      </c>
      <c r="C67" s="48" t="s">
        <v>17</v>
      </c>
      <c r="D67" s="49"/>
      <c r="E67" s="50" t="s">
        <v>20</v>
      </c>
      <c r="F67" s="22"/>
      <c r="G67" s="67" t="s">
        <v>104</v>
      </c>
      <c r="H67" s="48">
        <v>4</v>
      </c>
      <c r="I67" s="68"/>
      <c r="J67" s="52"/>
      <c r="K67" s="26"/>
      <c r="L67" s="26"/>
      <c r="M67" s="62">
        <f t="shared" si="2"/>
        <v>0</v>
      </c>
      <c r="N67" s="40"/>
      <c r="O67" s="62"/>
      <c r="P67" s="62"/>
      <c r="Q67" s="69">
        <f t="shared" si="1"/>
        <v>0</v>
      </c>
    </row>
    <row r="68" spans="1:20" s="3" customFormat="1" x14ac:dyDescent="0.25">
      <c r="A68" s="66"/>
      <c r="B68" s="11" t="s">
        <v>47</v>
      </c>
      <c r="C68" s="48" t="s">
        <v>17</v>
      </c>
      <c r="D68" s="49"/>
      <c r="E68" s="50" t="s">
        <v>20</v>
      </c>
      <c r="F68" s="51" t="s">
        <v>187</v>
      </c>
      <c r="G68" s="23" t="s">
        <v>102</v>
      </c>
      <c r="H68" s="24">
        <v>5</v>
      </c>
      <c r="I68" s="25">
        <v>1</v>
      </c>
      <c r="J68" s="37">
        <f>1</f>
        <v>1</v>
      </c>
      <c r="K68" s="26"/>
      <c r="L68" s="26"/>
      <c r="M68" s="62">
        <f t="shared" si="2"/>
        <v>0</v>
      </c>
      <c r="N68" s="40">
        <f>2+2</f>
        <v>4</v>
      </c>
      <c r="O68" s="28"/>
      <c r="P68" s="28"/>
      <c r="Q68" s="27">
        <f t="shared" si="1"/>
        <v>0</v>
      </c>
    </row>
    <row r="69" spans="1:20" s="3" customFormat="1" x14ac:dyDescent="0.25">
      <c r="A69" s="66"/>
      <c r="B69" s="11" t="s">
        <v>48</v>
      </c>
      <c r="C69" s="48" t="s">
        <v>17</v>
      </c>
      <c r="D69" s="49"/>
      <c r="E69" s="50" t="s">
        <v>49</v>
      </c>
      <c r="F69" s="51" t="s">
        <v>188</v>
      </c>
      <c r="G69" s="23" t="s">
        <v>102</v>
      </c>
      <c r="H69" s="24"/>
      <c r="I69" s="25"/>
      <c r="J69" s="37"/>
      <c r="K69" s="26"/>
      <c r="L69" s="26"/>
      <c r="M69" s="62">
        <f t="shared" si="2"/>
        <v>0</v>
      </c>
      <c r="N69" s="40">
        <f>5</f>
        <v>5</v>
      </c>
      <c r="O69" s="28"/>
      <c r="P69" s="28"/>
      <c r="Q69" s="69">
        <f t="shared" si="1"/>
        <v>0</v>
      </c>
    </row>
    <row r="70" spans="1:20" s="3" customFormat="1" x14ac:dyDescent="0.25">
      <c r="A70" s="66"/>
      <c r="B70" s="11" t="s">
        <v>48</v>
      </c>
      <c r="C70" s="48" t="s">
        <v>17</v>
      </c>
      <c r="D70" s="49"/>
      <c r="E70" s="50" t="s">
        <v>49</v>
      </c>
      <c r="F70" s="22"/>
      <c r="G70" s="67" t="s">
        <v>105</v>
      </c>
      <c r="H70" s="48">
        <v>1</v>
      </c>
      <c r="I70" s="68"/>
      <c r="J70" s="37"/>
      <c r="K70" s="26"/>
      <c r="L70" s="26"/>
      <c r="M70" s="62">
        <f t="shared" si="2"/>
        <v>0</v>
      </c>
      <c r="N70" s="40">
        <f>1</f>
        <v>1</v>
      </c>
      <c r="O70" s="62"/>
      <c r="P70" s="62"/>
      <c r="Q70" s="27">
        <f t="shared" si="1"/>
        <v>0</v>
      </c>
    </row>
    <row r="71" spans="1:20" s="3" customFormat="1" x14ac:dyDescent="0.25">
      <c r="A71" s="66"/>
      <c r="B71" s="7" t="s">
        <v>50</v>
      </c>
      <c r="C71" s="48" t="s">
        <v>17</v>
      </c>
      <c r="D71" s="49"/>
      <c r="E71" s="50" t="s">
        <v>20</v>
      </c>
      <c r="F71" s="22"/>
      <c r="G71" s="23" t="s">
        <v>102</v>
      </c>
      <c r="H71" s="24"/>
      <c r="I71" s="25"/>
      <c r="J71" s="37"/>
      <c r="K71" s="26"/>
      <c r="L71" s="26"/>
      <c r="M71" s="62">
        <f t="shared" si="2"/>
        <v>0</v>
      </c>
      <c r="N71" s="40"/>
      <c r="O71" s="28"/>
      <c r="P71" s="28"/>
      <c r="Q71" s="69">
        <f t="shared" si="1"/>
        <v>0</v>
      </c>
    </row>
    <row r="72" spans="1:20" s="3" customFormat="1" x14ac:dyDescent="0.25">
      <c r="A72" s="66"/>
      <c r="B72" s="7" t="s">
        <v>50</v>
      </c>
      <c r="C72" s="48" t="s">
        <v>17</v>
      </c>
      <c r="D72" s="49"/>
      <c r="E72" s="50" t="s">
        <v>20</v>
      </c>
      <c r="F72" s="22"/>
      <c r="G72" s="67" t="s">
        <v>104</v>
      </c>
      <c r="H72" s="48"/>
      <c r="I72" s="68"/>
      <c r="J72" s="52"/>
      <c r="K72" s="26"/>
      <c r="L72" s="26"/>
      <c r="M72" s="62">
        <f t="shared" si="2"/>
        <v>0</v>
      </c>
      <c r="N72" s="40"/>
      <c r="O72" s="62"/>
      <c r="P72" s="62"/>
      <c r="Q72" s="69">
        <f t="shared" si="1"/>
        <v>0</v>
      </c>
    </row>
    <row r="73" spans="1:20" s="3" customFormat="1" x14ac:dyDescent="0.25">
      <c r="A73" s="66"/>
      <c r="B73" s="11" t="s">
        <v>51</v>
      </c>
      <c r="C73" s="48" t="s">
        <v>17</v>
      </c>
      <c r="D73" s="49"/>
      <c r="E73" s="50" t="s">
        <v>20</v>
      </c>
      <c r="F73" s="51" t="s">
        <v>189</v>
      </c>
      <c r="G73" s="23" t="s">
        <v>102</v>
      </c>
      <c r="H73" s="24"/>
      <c r="I73" s="25"/>
      <c r="J73" s="37"/>
      <c r="K73" s="26"/>
      <c r="L73" s="26"/>
      <c r="M73" s="62">
        <f t="shared" si="2"/>
        <v>0</v>
      </c>
      <c r="N73" s="40">
        <f>1+1</f>
        <v>2</v>
      </c>
      <c r="O73" s="28"/>
      <c r="P73" s="28"/>
      <c r="Q73" s="69">
        <f t="shared" si="1"/>
        <v>0</v>
      </c>
    </row>
    <row r="74" spans="1:20" s="3" customFormat="1" x14ac:dyDescent="0.25">
      <c r="A74" s="66"/>
      <c r="B74" s="11" t="s">
        <v>51</v>
      </c>
      <c r="C74" s="48" t="s">
        <v>17</v>
      </c>
      <c r="D74" s="49"/>
      <c r="E74" s="50" t="s">
        <v>20</v>
      </c>
      <c r="F74" s="22"/>
      <c r="G74" s="67" t="s">
        <v>104</v>
      </c>
      <c r="H74" s="48">
        <v>1</v>
      </c>
      <c r="I74" s="68"/>
      <c r="J74" s="52"/>
      <c r="K74" s="26"/>
      <c r="L74" s="26"/>
      <c r="M74" s="62">
        <f t="shared" si="2"/>
        <v>0</v>
      </c>
      <c r="N74" s="40">
        <f>2</f>
        <v>2</v>
      </c>
      <c r="O74" s="79"/>
      <c r="P74" s="79"/>
      <c r="Q74" s="69">
        <f t="shared" si="1"/>
        <v>0</v>
      </c>
    </row>
    <row r="75" spans="1:20" s="3" customFormat="1" x14ac:dyDescent="0.25">
      <c r="A75" s="66"/>
      <c r="B75" s="7" t="s">
        <v>52</v>
      </c>
      <c r="C75" s="48" t="s">
        <v>17</v>
      </c>
      <c r="D75" s="49"/>
      <c r="E75" s="50" t="s">
        <v>20</v>
      </c>
      <c r="F75" s="51" t="s">
        <v>190</v>
      </c>
      <c r="G75" s="23" t="s">
        <v>102</v>
      </c>
      <c r="H75" s="24"/>
      <c r="I75" s="25"/>
      <c r="J75" s="37"/>
      <c r="K75" s="26"/>
      <c r="L75" s="26"/>
      <c r="M75" s="62">
        <f t="shared" si="2"/>
        <v>0</v>
      </c>
      <c r="N75" s="40">
        <f>3</f>
        <v>3</v>
      </c>
      <c r="O75" s="28"/>
      <c r="P75" s="28"/>
      <c r="Q75" s="69">
        <f t="shared" si="1"/>
        <v>0</v>
      </c>
    </row>
    <row r="76" spans="1:20" s="3" customFormat="1" x14ac:dyDescent="0.25">
      <c r="A76" s="66"/>
      <c r="B76" s="7" t="s">
        <v>124</v>
      </c>
      <c r="C76" s="48" t="s">
        <v>17</v>
      </c>
      <c r="D76" s="49"/>
      <c r="E76" s="50" t="s">
        <v>145</v>
      </c>
      <c r="F76" s="22"/>
      <c r="G76" s="23" t="s">
        <v>102</v>
      </c>
      <c r="H76" s="24">
        <v>2</v>
      </c>
      <c r="I76" s="25"/>
      <c r="J76" s="37"/>
      <c r="K76" s="26"/>
      <c r="L76" s="26"/>
      <c r="M76" s="62">
        <f t="shared" ref="M76:M139" si="3">K76-L76</f>
        <v>0</v>
      </c>
      <c r="N76" s="40">
        <f>1</f>
        <v>1</v>
      </c>
      <c r="O76" s="28"/>
      <c r="P76" s="28"/>
      <c r="Q76" s="27">
        <f t="shared" si="1"/>
        <v>0</v>
      </c>
    </row>
    <row r="77" spans="1:20" s="3" customFormat="1" x14ac:dyDescent="0.25">
      <c r="A77" s="66"/>
      <c r="B77" s="7" t="s">
        <v>124</v>
      </c>
      <c r="C77" s="48" t="s">
        <v>17</v>
      </c>
      <c r="D77" s="49"/>
      <c r="E77" s="50" t="s">
        <v>145</v>
      </c>
      <c r="F77" s="22"/>
      <c r="G77" s="67" t="s">
        <v>108</v>
      </c>
      <c r="H77" s="48">
        <v>1</v>
      </c>
      <c r="I77" s="71"/>
      <c r="J77" s="52"/>
      <c r="K77" s="53"/>
      <c r="L77" s="53"/>
      <c r="M77" s="62">
        <f t="shared" si="3"/>
        <v>0</v>
      </c>
      <c r="N77" s="43"/>
      <c r="O77" s="62"/>
      <c r="P77" s="62"/>
      <c r="Q77" s="69">
        <f t="shared" si="1"/>
        <v>0</v>
      </c>
      <c r="T77" s="106"/>
    </row>
    <row r="78" spans="1:20" s="3" customFormat="1" x14ac:dyDescent="0.25">
      <c r="A78" s="66"/>
      <c r="B78" s="11" t="s">
        <v>101</v>
      </c>
      <c r="C78" s="48" t="s">
        <v>17</v>
      </c>
      <c r="D78" s="49"/>
      <c r="E78" s="54" t="s">
        <v>20</v>
      </c>
      <c r="F78" s="51" t="s">
        <v>191</v>
      </c>
      <c r="G78" s="23" t="s">
        <v>102</v>
      </c>
      <c r="H78" s="24"/>
      <c r="I78" s="25"/>
      <c r="J78" s="37"/>
      <c r="K78" s="26"/>
      <c r="L78" s="26"/>
      <c r="M78" s="62">
        <f t="shared" si="3"/>
        <v>0</v>
      </c>
      <c r="N78" s="40">
        <f>1+2</f>
        <v>3</v>
      </c>
      <c r="O78" s="28"/>
      <c r="P78" s="28"/>
      <c r="Q78" s="27">
        <f t="shared" si="1"/>
        <v>0</v>
      </c>
    </row>
    <row r="79" spans="1:20" s="3" customFormat="1" x14ac:dyDescent="0.25">
      <c r="A79" s="66"/>
      <c r="B79" s="8" t="s">
        <v>53</v>
      </c>
      <c r="C79" s="48" t="s">
        <v>17</v>
      </c>
      <c r="D79" s="49"/>
      <c r="E79" s="54" t="s">
        <v>20</v>
      </c>
      <c r="F79" s="22"/>
      <c r="G79" s="23" t="s">
        <v>102</v>
      </c>
      <c r="H79" s="24"/>
      <c r="I79" s="25"/>
      <c r="J79" s="37"/>
      <c r="K79" s="26"/>
      <c r="L79" s="26"/>
      <c r="M79" s="62">
        <f t="shared" si="3"/>
        <v>0</v>
      </c>
      <c r="N79" s="40"/>
      <c r="O79" s="28"/>
      <c r="P79" s="28"/>
      <c r="Q79" s="27">
        <f t="shared" si="1"/>
        <v>0</v>
      </c>
    </row>
    <row r="80" spans="1:20" s="3" customFormat="1" ht="30" x14ac:dyDescent="0.25">
      <c r="A80" s="66"/>
      <c r="B80" s="7" t="s">
        <v>54</v>
      </c>
      <c r="C80" s="48" t="s">
        <v>135</v>
      </c>
      <c r="D80" s="49" t="s">
        <v>148</v>
      </c>
      <c r="E80" s="50" t="s">
        <v>20</v>
      </c>
      <c r="F80" s="51" t="s">
        <v>192</v>
      </c>
      <c r="G80" s="23" t="s">
        <v>102</v>
      </c>
      <c r="H80" s="24">
        <v>2</v>
      </c>
      <c r="I80" s="25">
        <v>1</v>
      </c>
      <c r="J80" s="38">
        <f>1+1</f>
        <v>2</v>
      </c>
      <c r="K80" s="26"/>
      <c r="L80" s="26"/>
      <c r="M80" s="62">
        <f t="shared" si="3"/>
        <v>0</v>
      </c>
      <c r="N80" s="40">
        <f>5+1</f>
        <v>6</v>
      </c>
      <c r="O80" s="28"/>
      <c r="P80" s="28"/>
      <c r="Q80" s="69">
        <f t="shared" si="1"/>
        <v>0</v>
      </c>
    </row>
    <row r="81" spans="1:17" s="3" customFormat="1" ht="30" x14ac:dyDescent="0.25">
      <c r="A81" s="66"/>
      <c r="B81" s="11" t="s">
        <v>55</v>
      </c>
      <c r="C81" s="48" t="s">
        <v>17</v>
      </c>
      <c r="D81" s="49" t="s">
        <v>147</v>
      </c>
      <c r="E81" s="50" t="s">
        <v>18</v>
      </c>
      <c r="F81" s="22"/>
      <c r="G81" s="23" t="s">
        <v>102</v>
      </c>
      <c r="H81" s="24">
        <v>1</v>
      </c>
      <c r="I81" s="25"/>
      <c r="J81" s="37"/>
      <c r="K81" s="26"/>
      <c r="L81" s="26"/>
      <c r="M81" s="62">
        <f t="shared" si="3"/>
        <v>0</v>
      </c>
      <c r="N81" s="40"/>
      <c r="O81" s="28"/>
      <c r="P81" s="28"/>
      <c r="Q81" s="27">
        <f t="shared" si="1"/>
        <v>0</v>
      </c>
    </row>
    <row r="82" spans="1:17" s="3" customFormat="1" ht="30" x14ac:dyDescent="0.25">
      <c r="A82" s="66"/>
      <c r="B82" s="11" t="s">
        <v>55</v>
      </c>
      <c r="C82" s="48" t="s">
        <v>135</v>
      </c>
      <c r="D82" s="49" t="s">
        <v>147</v>
      </c>
      <c r="E82" s="50" t="s">
        <v>18</v>
      </c>
      <c r="F82" s="22"/>
      <c r="G82" s="96" t="s">
        <v>106</v>
      </c>
      <c r="H82" s="48"/>
      <c r="I82" s="71"/>
      <c r="J82" s="38"/>
      <c r="K82" s="26"/>
      <c r="L82" s="26"/>
      <c r="M82" s="62">
        <f t="shared" si="3"/>
        <v>0</v>
      </c>
      <c r="N82" s="40"/>
      <c r="O82" s="62"/>
      <c r="P82" s="62"/>
      <c r="Q82" s="69">
        <f t="shared" ref="Q82:Q148" si="4">O82-P82</f>
        <v>0</v>
      </c>
    </row>
    <row r="83" spans="1:17" s="3" customFormat="1" x14ac:dyDescent="0.25">
      <c r="A83" s="66"/>
      <c r="B83" s="11" t="s">
        <v>131</v>
      </c>
      <c r="C83" s="48" t="s">
        <v>135</v>
      </c>
      <c r="D83" s="49"/>
      <c r="E83" s="50" t="s">
        <v>20</v>
      </c>
      <c r="F83" s="22"/>
      <c r="G83" s="23" t="s">
        <v>102</v>
      </c>
      <c r="H83" s="24"/>
      <c r="I83" s="25"/>
      <c r="J83" s="37"/>
      <c r="K83" s="26"/>
      <c r="L83" s="26"/>
      <c r="M83" s="62">
        <f t="shared" si="3"/>
        <v>0</v>
      </c>
      <c r="N83" s="40">
        <f>1</f>
        <v>1</v>
      </c>
      <c r="O83" s="28"/>
      <c r="P83" s="28"/>
      <c r="Q83" s="27">
        <f t="shared" si="4"/>
        <v>0</v>
      </c>
    </row>
    <row r="84" spans="1:17" s="4" customFormat="1" x14ac:dyDescent="0.25">
      <c r="A84" s="66"/>
      <c r="B84" s="11" t="s">
        <v>56</v>
      </c>
      <c r="C84" s="48" t="s">
        <v>17</v>
      </c>
      <c r="D84" s="49"/>
      <c r="E84" s="50" t="s">
        <v>20</v>
      </c>
      <c r="F84" s="22"/>
      <c r="G84" s="23" t="s">
        <v>102</v>
      </c>
      <c r="H84" s="24">
        <v>1</v>
      </c>
      <c r="I84" s="25"/>
      <c r="J84" s="37"/>
      <c r="K84" s="26"/>
      <c r="L84" s="26"/>
      <c r="M84" s="62">
        <f t="shared" si="3"/>
        <v>0</v>
      </c>
      <c r="N84" s="40"/>
      <c r="O84" s="28"/>
      <c r="P84" s="28"/>
      <c r="Q84" s="69">
        <f t="shared" si="4"/>
        <v>0</v>
      </c>
    </row>
    <row r="85" spans="1:17" s="4" customFormat="1" x14ac:dyDescent="0.25">
      <c r="A85" s="66"/>
      <c r="B85" s="11" t="s">
        <v>56</v>
      </c>
      <c r="C85" s="48" t="s">
        <v>17</v>
      </c>
      <c r="D85" s="49"/>
      <c r="E85" s="50" t="s">
        <v>20</v>
      </c>
      <c r="F85" s="22"/>
      <c r="G85" s="67" t="s">
        <v>104</v>
      </c>
      <c r="H85" s="48">
        <v>9</v>
      </c>
      <c r="I85" s="68"/>
      <c r="J85" s="52"/>
      <c r="K85" s="26"/>
      <c r="L85" s="26"/>
      <c r="M85" s="62">
        <f t="shared" si="3"/>
        <v>0</v>
      </c>
      <c r="N85" s="40"/>
      <c r="O85" s="62"/>
      <c r="P85" s="62"/>
      <c r="Q85" s="69">
        <f t="shared" si="4"/>
        <v>0</v>
      </c>
    </row>
    <row r="86" spans="1:17" s="3" customFormat="1" x14ac:dyDescent="0.25">
      <c r="A86" s="66"/>
      <c r="B86" s="11" t="s">
        <v>57</v>
      </c>
      <c r="C86" s="48" t="s">
        <v>17</v>
      </c>
      <c r="D86" s="49"/>
      <c r="E86" s="50" t="s">
        <v>20</v>
      </c>
      <c r="F86" s="22"/>
      <c r="G86" s="23" t="s">
        <v>102</v>
      </c>
      <c r="H86" s="24"/>
      <c r="I86" s="25"/>
      <c r="J86" s="37"/>
      <c r="K86" s="26"/>
      <c r="L86" s="26"/>
      <c r="M86" s="62">
        <f t="shared" si="3"/>
        <v>0</v>
      </c>
      <c r="N86" s="40">
        <f>1</f>
        <v>1</v>
      </c>
      <c r="O86" s="28"/>
      <c r="P86" s="28"/>
      <c r="Q86" s="69">
        <f t="shared" si="4"/>
        <v>0</v>
      </c>
    </row>
    <row r="87" spans="1:17" s="3" customFormat="1" x14ac:dyDescent="0.25">
      <c r="A87" s="66"/>
      <c r="B87" s="11" t="s">
        <v>57</v>
      </c>
      <c r="C87" s="48" t="s">
        <v>17</v>
      </c>
      <c r="D87" s="49"/>
      <c r="E87" s="50" t="s">
        <v>20</v>
      </c>
      <c r="F87" s="22"/>
      <c r="G87" s="67" t="s">
        <v>104</v>
      </c>
      <c r="H87" s="48"/>
      <c r="I87" s="68"/>
      <c r="J87" s="52"/>
      <c r="K87" s="26"/>
      <c r="L87" s="26"/>
      <c r="M87" s="62">
        <f t="shared" si="3"/>
        <v>0</v>
      </c>
      <c r="N87" s="40"/>
      <c r="O87" s="62"/>
      <c r="P87" s="62"/>
      <c r="Q87" s="69">
        <f t="shared" si="4"/>
        <v>0</v>
      </c>
    </row>
    <row r="88" spans="1:17" s="3" customFormat="1" x14ac:dyDescent="0.25">
      <c r="A88" s="66"/>
      <c r="B88" s="11" t="s">
        <v>58</v>
      </c>
      <c r="C88" s="48" t="s">
        <v>17</v>
      </c>
      <c r="D88" s="49"/>
      <c r="E88" s="50" t="s">
        <v>20</v>
      </c>
      <c r="F88" s="22"/>
      <c r="G88" s="23" t="s">
        <v>102</v>
      </c>
      <c r="H88" s="24">
        <v>1</v>
      </c>
      <c r="I88" s="25"/>
      <c r="J88" s="37"/>
      <c r="K88" s="26"/>
      <c r="L88" s="26"/>
      <c r="M88" s="62">
        <f t="shared" si="3"/>
        <v>0</v>
      </c>
      <c r="N88" s="40"/>
      <c r="O88" s="28"/>
      <c r="P88" s="28"/>
      <c r="Q88" s="69">
        <f t="shared" si="4"/>
        <v>0</v>
      </c>
    </row>
    <row r="89" spans="1:17" s="3" customFormat="1" x14ac:dyDescent="0.25">
      <c r="A89" s="66"/>
      <c r="B89" s="11" t="s">
        <v>58</v>
      </c>
      <c r="C89" s="48" t="s">
        <v>17</v>
      </c>
      <c r="D89" s="49"/>
      <c r="E89" s="50" t="s">
        <v>20</v>
      </c>
      <c r="F89" s="22"/>
      <c r="G89" s="67" t="s">
        <v>104</v>
      </c>
      <c r="H89" s="48"/>
      <c r="I89" s="68"/>
      <c r="J89" s="52"/>
      <c r="K89" s="26"/>
      <c r="L89" s="26"/>
      <c r="M89" s="62">
        <f t="shared" si="3"/>
        <v>0</v>
      </c>
      <c r="N89" s="40"/>
      <c r="O89" s="62"/>
      <c r="P89" s="62"/>
      <c r="Q89" s="69">
        <f t="shared" si="4"/>
        <v>0</v>
      </c>
    </row>
    <row r="90" spans="1:17" s="3" customFormat="1" x14ac:dyDescent="0.25">
      <c r="A90" s="66"/>
      <c r="B90" s="7" t="s">
        <v>59</v>
      </c>
      <c r="C90" s="48" t="s">
        <v>17</v>
      </c>
      <c r="D90" s="49"/>
      <c r="E90" s="50" t="s">
        <v>20</v>
      </c>
      <c r="F90" s="51" t="s">
        <v>193</v>
      </c>
      <c r="G90" s="23" t="s">
        <v>102</v>
      </c>
      <c r="H90" s="24">
        <v>2</v>
      </c>
      <c r="I90" s="25"/>
      <c r="J90" s="37"/>
      <c r="K90" s="26"/>
      <c r="L90" s="26"/>
      <c r="M90" s="62">
        <f t="shared" si="3"/>
        <v>0</v>
      </c>
      <c r="N90" s="40">
        <f>1</f>
        <v>1</v>
      </c>
      <c r="O90" s="28"/>
      <c r="P90" s="28"/>
      <c r="Q90" s="69">
        <f t="shared" si="4"/>
        <v>0</v>
      </c>
    </row>
    <row r="91" spans="1:17" s="3" customFormat="1" x14ac:dyDescent="0.25">
      <c r="A91" s="66"/>
      <c r="B91" s="7" t="s">
        <v>59</v>
      </c>
      <c r="C91" s="48" t="s">
        <v>17</v>
      </c>
      <c r="D91" s="49"/>
      <c r="E91" s="50" t="s">
        <v>20</v>
      </c>
      <c r="F91" s="22"/>
      <c r="G91" s="67" t="s">
        <v>104</v>
      </c>
      <c r="H91" s="48">
        <v>5</v>
      </c>
      <c r="I91" s="68"/>
      <c r="J91" s="52"/>
      <c r="K91" s="26"/>
      <c r="L91" s="26"/>
      <c r="M91" s="62">
        <f t="shared" si="3"/>
        <v>0</v>
      </c>
      <c r="N91" s="40"/>
      <c r="O91" s="62"/>
      <c r="P91" s="62"/>
      <c r="Q91" s="69">
        <f t="shared" si="4"/>
        <v>0</v>
      </c>
    </row>
    <row r="92" spans="1:17" s="3" customFormat="1" x14ac:dyDescent="0.25">
      <c r="A92" s="66"/>
      <c r="B92" s="7" t="s">
        <v>160</v>
      </c>
      <c r="C92" s="48" t="s">
        <v>17</v>
      </c>
      <c r="D92" s="49"/>
      <c r="E92" s="50" t="s">
        <v>20</v>
      </c>
      <c r="F92" s="22"/>
      <c r="G92" s="67" t="s">
        <v>102</v>
      </c>
      <c r="H92" s="48">
        <v>1</v>
      </c>
      <c r="I92" s="68"/>
      <c r="J92" s="52"/>
      <c r="K92" s="26"/>
      <c r="L92" s="26"/>
      <c r="M92" s="62">
        <f t="shared" si="3"/>
        <v>0</v>
      </c>
      <c r="N92" s="40"/>
      <c r="O92" s="62"/>
      <c r="P92" s="62"/>
      <c r="Q92" s="69">
        <f t="shared" si="4"/>
        <v>0</v>
      </c>
    </row>
    <row r="93" spans="1:17" s="4" customFormat="1" x14ac:dyDescent="0.25">
      <c r="A93" s="66"/>
      <c r="B93" s="7" t="s">
        <v>60</v>
      </c>
      <c r="C93" s="48" t="s">
        <v>17</v>
      </c>
      <c r="D93" s="49"/>
      <c r="E93" s="50" t="s">
        <v>20</v>
      </c>
      <c r="F93" s="22"/>
      <c r="G93" s="23" t="s">
        <v>102</v>
      </c>
      <c r="H93" s="24"/>
      <c r="I93" s="25"/>
      <c r="J93" s="37"/>
      <c r="K93" s="26"/>
      <c r="L93" s="26"/>
      <c r="M93" s="62">
        <f t="shared" si="3"/>
        <v>0</v>
      </c>
      <c r="N93" s="40"/>
      <c r="O93" s="28"/>
      <c r="P93" s="28"/>
      <c r="Q93" s="69">
        <f t="shared" si="4"/>
        <v>0</v>
      </c>
    </row>
    <row r="94" spans="1:17" s="4" customFormat="1" x14ac:dyDescent="0.25">
      <c r="A94" s="66"/>
      <c r="B94" s="73" t="s">
        <v>137</v>
      </c>
      <c r="C94" s="48" t="s">
        <v>17</v>
      </c>
      <c r="D94" s="49"/>
      <c r="E94" s="50" t="s">
        <v>35</v>
      </c>
      <c r="F94" s="51" t="s">
        <v>194</v>
      </c>
      <c r="G94" s="67" t="s">
        <v>102</v>
      </c>
      <c r="H94" s="48">
        <v>2</v>
      </c>
      <c r="I94" s="68"/>
      <c r="J94" s="52"/>
      <c r="K94" s="26"/>
      <c r="L94" s="26"/>
      <c r="M94" s="62">
        <f t="shared" si="3"/>
        <v>0</v>
      </c>
      <c r="N94" s="43">
        <f>1</f>
        <v>1</v>
      </c>
      <c r="O94" s="62"/>
      <c r="P94" s="62"/>
      <c r="Q94" s="69">
        <f t="shared" si="4"/>
        <v>0</v>
      </c>
    </row>
    <row r="95" spans="1:17" s="3" customFormat="1" x14ac:dyDescent="0.25">
      <c r="A95" s="66"/>
      <c r="B95" s="11" t="s">
        <v>137</v>
      </c>
      <c r="C95" s="48" t="s">
        <v>17</v>
      </c>
      <c r="D95" s="49"/>
      <c r="E95" s="50" t="s">
        <v>27</v>
      </c>
      <c r="F95" s="22"/>
      <c r="G95" s="67" t="s">
        <v>107</v>
      </c>
      <c r="H95" s="48"/>
      <c r="I95" s="68"/>
      <c r="J95" s="37"/>
      <c r="K95" s="26"/>
      <c r="L95" s="26"/>
      <c r="M95" s="62">
        <f t="shared" si="3"/>
        <v>0</v>
      </c>
      <c r="N95" s="40"/>
      <c r="O95" s="26"/>
      <c r="P95" s="26"/>
      <c r="Q95" s="27">
        <f>O95-P95</f>
        <v>0</v>
      </c>
    </row>
    <row r="96" spans="1:17" s="3" customFormat="1" x14ac:dyDescent="0.25">
      <c r="A96" s="66"/>
      <c r="B96" s="7" t="s">
        <v>61</v>
      </c>
      <c r="C96" s="48" t="s">
        <v>17</v>
      </c>
      <c r="D96" s="49"/>
      <c r="E96" s="50" t="s">
        <v>35</v>
      </c>
      <c r="F96" s="51" t="s">
        <v>195</v>
      </c>
      <c r="G96" s="23" t="s">
        <v>102</v>
      </c>
      <c r="H96" s="24">
        <v>2</v>
      </c>
      <c r="I96" s="25"/>
      <c r="J96" s="37"/>
      <c r="K96" s="26"/>
      <c r="L96" s="26"/>
      <c r="M96" s="62">
        <f t="shared" si="3"/>
        <v>0</v>
      </c>
      <c r="N96" s="40">
        <f>2+1</f>
        <v>3</v>
      </c>
      <c r="O96" s="28"/>
      <c r="P96" s="28"/>
      <c r="Q96" s="27">
        <f t="shared" si="4"/>
        <v>0</v>
      </c>
    </row>
    <row r="97" spans="1:20" s="3" customFormat="1" x14ac:dyDescent="0.25">
      <c r="A97" s="66"/>
      <c r="B97" s="7" t="s">
        <v>61</v>
      </c>
      <c r="C97" s="48" t="s">
        <v>17</v>
      </c>
      <c r="D97" s="49"/>
      <c r="E97" s="50" t="s">
        <v>35</v>
      </c>
      <c r="F97" s="22"/>
      <c r="G97" s="67" t="s">
        <v>107</v>
      </c>
      <c r="H97" s="48"/>
      <c r="I97" s="68"/>
      <c r="J97" s="37"/>
      <c r="K97" s="26"/>
      <c r="L97" s="26"/>
      <c r="M97" s="62">
        <f t="shared" si="3"/>
        <v>0</v>
      </c>
      <c r="N97" s="40"/>
      <c r="O97" s="62"/>
      <c r="P97" s="62"/>
      <c r="Q97" s="69">
        <f t="shared" si="4"/>
        <v>0</v>
      </c>
    </row>
    <row r="98" spans="1:20" s="3" customFormat="1" x14ac:dyDescent="0.25">
      <c r="A98" s="66"/>
      <c r="B98" s="7" t="s">
        <v>130</v>
      </c>
      <c r="C98" s="48" t="s">
        <v>17</v>
      </c>
      <c r="D98" s="49"/>
      <c r="E98" s="50" t="s">
        <v>20</v>
      </c>
      <c r="F98" s="51" t="s">
        <v>196</v>
      </c>
      <c r="G98" s="23" t="s">
        <v>102</v>
      </c>
      <c r="H98" s="24"/>
      <c r="I98" s="29"/>
      <c r="J98" s="37"/>
      <c r="K98" s="26"/>
      <c r="L98" s="26"/>
      <c r="M98" s="62">
        <f t="shared" si="3"/>
        <v>0</v>
      </c>
      <c r="N98" s="40">
        <f>4</f>
        <v>4</v>
      </c>
      <c r="O98" s="28"/>
      <c r="P98" s="28"/>
      <c r="Q98" s="69">
        <f t="shared" si="4"/>
        <v>0</v>
      </c>
    </row>
    <row r="99" spans="1:20" s="3" customFormat="1" x14ac:dyDescent="0.25">
      <c r="A99" s="66"/>
      <c r="B99" s="7" t="s">
        <v>170</v>
      </c>
      <c r="C99" s="48"/>
      <c r="D99" s="49"/>
      <c r="E99" s="50"/>
      <c r="F99" s="22"/>
      <c r="G99" s="23" t="s">
        <v>104</v>
      </c>
      <c r="H99" s="24"/>
      <c r="I99" s="29"/>
      <c r="J99" s="37"/>
      <c r="K99" s="26"/>
      <c r="L99" s="26"/>
      <c r="M99" s="62">
        <f t="shared" si="3"/>
        <v>0</v>
      </c>
      <c r="N99" s="40"/>
      <c r="O99" s="28"/>
      <c r="P99" s="28"/>
      <c r="Q99" s="69"/>
    </row>
    <row r="100" spans="1:20" s="3" customFormat="1" ht="15.75" x14ac:dyDescent="0.25">
      <c r="A100" s="66"/>
      <c r="B100" s="7" t="s">
        <v>130</v>
      </c>
      <c r="C100" s="48" t="s">
        <v>17</v>
      </c>
      <c r="D100" s="49"/>
      <c r="E100" s="50" t="s">
        <v>20</v>
      </c>
      <c r="F100" s="22"/>
      <c r="G100" s="67" t="s">
        <v>104</v>
      </c>
      <c r="H100" s="1"/>
      <c r="I100" s="68"/>
      <c r="J100" s="52"/>
      <c r="K100" s="26"/>
      <c r="L100" s="26"/>
      <c r="M100" s="62">
        <f t="shared" si="3"/>
        <v>0</v>
      </c>
      <c r="N100" s="40"/>
      <c r="O100" s="62"/>
      <c r="P100" s="62"/>
      <c r="Q100" s="69">
        <f t="shared" si="4"/>
        <v>0</v>
      </c>
    </row>
    <row r="101" spans="1:20" s="3" customFormat="1" x14ac:dyDescent="0.25">
      <c r="A101" s="66"/>
      <c r="B101" s="8" t="s">
        <v>63</v>
      </c>
      <c r="C101" s="48" t="s">
        <v>17</v>
      </c>
      <c r="D101" s="49"/>
      <c r="E101" s="50" t="s">
        <v>21</v>
      </c>
      <c r="F101" s="51" t="s">
        <v>197</v>
      </c>
      <c r="G101" s="23" t="s">
        <v>102</v>
      </c>
      <c r="H101" s="24">
        <v>3</v>
      </c>
      <c r="I101" s="25"/>
      <c r="J101" s="37"/>
      <c r="K101" s="26"/>
      <c r="L101" s="26"/>
      <c r="M101" s="62">
        <f t="shared" si="3"/>
        <v>0</v>
      </c>
      <c r="N101" s="40">
        <f>5</f>
        <v>5</v>
      </c>
      <c r="O101" s="28"/>
      <c r="P101" s="28"/>
      <c r="Q101" s="69">
        <f t="shared" si="4"/>
        <v>0</v>
      </c>
    </row>
    <row r="102" spans="1:20" s="3" customFormat="1" x14ac:dyDescent="0.25">
      <c r="A102" s="66"/>
      <c r="B102" s="8" t="s">
        <v>63</v>
      </c>
      <c r="C102" s="48" t="s">
        <v>17</v>
      </c>
      <c r="D102" s="49"/>
      <c r="E102" s="50" t="s">
        <v>21</v>
      </c>
      <c r="F102" s="22"/>
      <c r="G102" s="67" t="s">
        <v>108</v>
      </c>
      <c r="H102" s="48"/>
      <c r="I102" s="68"/>
      <c r="J102" s="37"/>
      <c r="K102" s="26"/>
      <c r="L102" s="26"/>
      <c r="M102" s="62">
        <f t="shared" si="3"/>
        <v>0</v>
      </c>
      <c r="N102" s="40"/>
      <c r="O102" s="62"/>
      <c r="P102" s="62"/>
      <c r="Q102" s="27">
        <f t="shared" si="4"/>
        <v>0</v>
      </c>
      <c r="T102" s="106"/>
    </row>
    <row r="103" spans="1:20" s="3" customFormat="1" x14ac:dyDescent="0.25">
      <c r="A103" s="66"/>
      <c r="B103" s="11" t="s">
        <v>116</v>
      </c>
      <c r="C103" s="48" t="s">
        <v>17</v>
      </c>
      <c r="D103" s="49"/>
      <c r="E103" s="54" t="s">
        <v>35</v>
      </c>
      <c r="F103" s="51" t="s">
        <v>198</v>
      </c>
      <c r="G103" s="23" t="s">
        <v>102</v>
      </c>
      <c r="H103" s="24">
        <v>1</v>
      </c>
      <c r="I103" s="25"/>
      <c r="J103" s="37"/>
      <c r="K103" s="26"/>
      <c r="L103" s="26"/>
      <c r="M103" s="62">
        <f t="shared" si="3"/>
        <v>0</v>
      </c>
      <c r="N103" s="40">
        <f>5+3</f>
        <v>8</v>
      </c>
      <c r="O103" s="28"/>
      <c r="P103" s="28"/>
      <c r="Q103" s="69">
        <f t="shared" si="4"/>
        <v>0</v>
      </c>
    </row>
    <row r="104" spans="1:20" s="3" customFormat="1" x14ac:dyDescent="0.25">
      <c r="A104" s="66"/>
      <c r="B104" s="11" t="s">
        <v>116</v>
      </c>
      <c r="C104" s="48" t="s">
        <v>17</v>
      </c>
      <c r="D104" s="49"/>
      <c r="E104" s="54" t="s">
        <v>35</v>
      </c>
      <c r="F104" s="22"/>
      <c r="G104" s="67" t="s">
        <v>107</v>
      </c>
      <c r="H104" s="48"/>
      <c r="I104" s="68"/>
      <c r="J104" s="52"/>
      <c r="K104" s="53"/>
      <c r="L104" s="53"/>
      <c r="M104" s="62">
        <f t="shared" si="3"/>
        <v>0</v>
      </c>
      <c r="N104" s="43">
        <f>1</f>
        <v>1</v>
      </c>
      <c r="O104" s="62"/>
      <c r="P104" s="62"/>
      <c r="Q104" s="27">
        <f t="shared" si="4"/>
        <v>0</v>
      </c>
    </row>
    <row r="105" spans="1:20" s="3" customFormat="1" x14ac:dyDescent="0.25">
      <c r="A105" s="66"/>
      <c r="B105" s="8" t="s">
        <v>64</v>
      </c>
      <c r="C105" s="48" t="s">
        <v>17</v>
      </c>
      <c r="D105" s="49"/>
      <c r="E105" s="54" t="s">
        <v>21</v>
      </c>
      <c r="F105" s="22"/>
      <c r="G105" s="23" t="s">
        <v>102</v>
      </c>
      <c r="H105" s="24">
        <v>3</v>
      </c>
      <c r="I105" s="25"/>
      <c r="J105" s="37"/>
      <c r="K105" s="26"/>
      <c r="L105" s="26"/>
      <c r="M105" s="62">
        <f t="shared" si="3"/>
        <v>0</v>
      </c>
      <c r="N105" s="40">
        <f>4</f>
        <v>4</v>
      </c>
      <c r="O105" s="28"/>
      <c r="P105" s="28"/>
      <c r="Q105" s="69">
        <f t="shared" si="4"/>
        <v>0</v>
      </c>
    </row>
    <row r="106" spans="1:20" s="3" customFormat="1" x14ac:dyDescent="0.25">
      <c r="A106" s="66"/>
      <c r="B106" s="8" t="s">
        <v>64</v>
      </c>
      <c r="C106" s="48" t="s">
        <v>17</v>
      </c>
      <c r="D106" s="49"/>
      <c r="E106" s="54" t="s">
        <v>21</v>
      </c>
      <c r="F106" s="22"/>
      <c r="G106" s="67" t="s">
        <v>108</v>
      </c>
      <c r="H106" s="48">
        <v>2</v>
      </c>
      <c r="I106" s="68"/>
      <c r="J106" s="37"/>
      <c r="K106" s="26"/>
      <c r="L106" s="26"/>
      <c r="M106" s="62">
        <f t="shared" si="3"/>
        <v>0</v>
      </c>
      <c r="N106" s="40">
        <v>1</v>
      </c>
      <c r="O106" s="62">
        <v>1618.54</v>
      </c>
      <c r="P106" s="62">
        <v>1618.54</v>
      </c>
      <c r="Q106" s="27">
        <f t="shared" si="4"/>
        <v>0</v>
      </c>
      <c r="T106" s="106"/>
    </row>
    <row r="107" spans="1:20" s="3" customFormat="1" x14ac:dyDescent="0.25">
      <c r="A107" s="66"/>
      <c r="B107" s="8" t="s">
        <v>65</v>
      </c>
      <c r="C107" s="48" t="s">
        <v>17</v>
      </c>
      <c r="D107" s="49"/>
      <c r="E107" s="54" t="s">
        <v>32</v>
      </c>
      <c r="F107" s="22"/>
      <c r="G107" s="23" t="s">
        <v>102</v>
      </c>
      <c r="H107" s="24"/>
      <c r="I107" s="25"/>
      <c r="J107" s="37"/>
      <c r="K107" s="26"/>
      <c r="L107" s="26"/>
      <c r="M107" s="62">
        <f t="shared" si="3"/>
        <v>0</v>
      </c>
      <c r="N107" s="40">
        <f>2</f>
        <v>2</v>
      </c>
      <c r="O107" s="28"/>
      <c r="P107" s="28"/>
      <c r="Q107" s="69">
        <f t="shared" si="4"/>
        <v>0</v>
      </c>
    </row>
    <row r="108" spans="1:20" s="3" customFormat="1" x14ac:dyDescent="0.25">
      <c r="A108" s="66"/>
      <c r="B108" s="8" t="s">
        <v>65</v>
      </c>
      <c r="C108" s="48" t="s">
        <v>17</v>
      </c>
      <c r="D108" s="49"/>
      <c r="E108" s="54" t="s">
        <v>32</v>
      </c>
      <c r="F108" s="22"/>
      <c r="G108" s="72" t="s">
        <v>107</v>
      </c>
      <c r="H108" s="48">
        <v>1</v>
      </c>
      <c r="I108" s="68"/>
      <c r="J108" s="37"/>
      <c r="K108" s="26"/>
      <c r="L108" s="26"/>
      <c r="M108" s="62">
        <f t="shared" si="3"/>
        <v>0</v>
      </c>
      <c r="N108" s="40"/>
      <c r="O108" s="26"/>
      <c r="P108" s="26"/>
      <c r="Q108" s="27">
        <f t="shared" si="4"/>
        <v>0</v>
      </c>
    </row>
    <row r="109" spans="1:20" s="4" customFormat="1" x14ac:dyDescent="0.25">
      <c r="A109" s="66"/>
      <c r="B109" s="7" t="s">
        <v>66</v>
      </c>
      <c r="C109" s="48" t="s">
        <v>17</v>
      </c>
      <c r="D109" s="49"/>
      <c r="E109" s="50" t="s">
        <v>20</v>
      </c>
      <c r="F109" s="51" t="s">
        <v>199</v>
      </c>
      <c r="G109" s="23" t="s">
        <v>102</v>
      </c>
      <c r="H109" s="24">
        <v>1</v>
      </c>
      <c r="I109" s="25"/>
      <c r="J109" s="37"/>
      <c r="K109" s="26"/>
      <c r="L109" s="26"/>
      <c r="M109" s="62">
        <f t="shared" si="3"/>
        <v>0</v>
      </c>
      <c r="N109" s="40"/>
      <c r="O109" s="26"/>
      <c r="P109" s="26"/>
      <c r="Q109" s="69">
        <f t="shared" si="4"/>
        <v>0</v>
      </c>
    </row>
    <row r="110" spans="1:20" s="4" customFormat="1" x14ac:dyDescent="0.25">
      <c r="A110" s="66"/>
      <c r="B110" s="73" t="s">
        <v>163</v>
      </c>
      <c r="C110" s="48" t="s">
        <v>17</v>
      </c>
      <c r="D110" s="49"/>
      <c r="E110" s="50" t="s">
        <v>20</v>
      </c>
      <c r="F110" s="22"/>
      <c r="G110" s="23" t="s">
        <v>102</v>
      </c>
      <c r="H110" s="24"/>
      <c r="I110" s="25"/>
      <c r="J110" s="37"/>
      <c r="K110" s="26"/>
      <c r="L110" s="26"/>
      <c r="M110" s="62">
        <f t="shared" si="3"/>
        <v>0</v>
      </c>
      <c r="N110" s="40"/>
      <c r="O110" s="26"/>
      <c r="P110" s="26"/>
      <c r="Q110" s="69">
        <f t="shared" si="4"/>
        <v>0</v>
      </c>
    </row>
    <row r="111" spans="1:20" s="4" customFormat="1" x14ac:dyDescent="0.25">
      <c r="A111" s="66"/>
      <c r="B111" s="73" t="s">
        <v>163</v>
      </c>
      <c r="C111" s="48" t="s">
        <v>17</v>
      </c>
      <c r="D111" s="49"/>
      <c r="E111" s="50" t="s">
        <v>32</v>
      </c>
      <c r="F111" s="22"/>
      <c r="G111" s="72" t="s">
        <v>107</v>
      </c>
      <c r="H111" s="24"/>
      <c r="I111" s="25"/>
      <c r="J111" s="37"/>
      <c r="K111" s="26"/>
      <c r="L111" s="26"/>
      <c r="M111" s="62">
        <f t="shared" si="3"/>
        <v>0</v>
      </c>
      <c r="N111" s="40"/>
      <c r="O111" s="26"/>
      <c r="P111" s="26"/>
      <c r="Q111" s="69">
        <f t="shared" si="4"/>
        <v>0</v>
      </c>
    </row>
    <row r="112" spans="1:20" s="3" customFormat="1" x14ac:dyDescent="0.25">
      <c r="A112" s="66"/>
      <c r="B112" s="11" t="s">
        <v>67</v>
      </c>
      <c r="C112" s="48" t="s">
        <v>17</v>
      </c>
      <c r="D112" s="49"/>
      <c r="E112" s="50" t="s">
        <v>20</v>
      </c>
      <c r="F112" s="51" t="s">
        <v>200</v>
      </c>
      <c r="G112" s="23" t="s">
        <v>102</v>
      </c>
      <c r="H112" s="24">
        <v>1</v>
      </c>
      <c r="I112" s="25">
        <v>1</v>
      </c>
      <c r="J112" s="37">
        <f>1</f>
        <v>1</v>
      </c>
      <c r="K112" s="26"/>
      <c r="L112" s="26"/>
      <c r="M112" s="62">
        <f t="shared" si="3"/>
        <v>0</v>
      </c>
      <c r="N112" s="40">
        <f>2</f>
        <v>2</v>
      </c>
      <c r="O112" s="28"/>
      <c r="P112" s="28"/>
      <c r="Q112" s="27">
        <f t="shared" si="4"/>
        <v>0</v>
      </c>
    </row>
    <row r="113" spans="1:20" s="3" customFormat="1" x14ac:dyDescent="0.25">
      <c r="A113" s="66"/>
      <c r="B113" s="11" t="s">
        <v>67</v>
      </c>
      <c r="C113" s="48" t="s">
        <v>17</v>
      </c>
      <c r="D113" s="49"/>
      <c r="E113" s="50" t="s">
        <v>20</v>
      </c>
      <c r="F113" s="22"/>
      <c r="G113" s="67" t="s">
        <v>104</v>
      </c>
      <c r="H113" s="48">
        <v>3</v>
      </c>
      <c r="I113" s="68"/>
      <c r="J113" s="52"/>
      <c r="K113" s="26"/>
      <c r="L113" s="26"/>
      <c r="M113" s="62">
        <f t="shared" si="3"/>
        <v>0</v>
      </c>
      <c r="N113" s="40">
        <f>3</f>
        <v>3</v>
      </c>
      <c r="O113" s="62"/>
      <c r="P113" s="62"/>
      <c r="Q113" s="69">
        <f t="shared" si="4"/>
        <v>0</v>
      </c>
    </row>
    <row r="114" spans="1:20" s="4" customFormat="1" x14ac:dyDescent="0.25">
      <c r="A114" s="66"/>
      <c r="B114" s="11" t="s">
        <v>68</v>
      </c>
      <c r="C114" s="48" t="s">
        <v>17</v>
      </c>
      <c r="D114" s="49"/>
      <c r="E114" s="50" t="s">
        <v>32</v>
      </c>
      <c r="F114" s="22"/>
      <c r="G114" s="23" t="s">
        <v>102</v>
      </c>
      <c r="H114" s="24"/>
      <c r="I114" s="25"/>
      <c r="J114" s="37"/>
      <c r="K114" s="26"/>
      <c r="L114" s="26"/>
      <c r="M114" s="62">
        <f t="shared" si="3"/>
        <v>0</v>
      </c>
      <c r="N114" s="40">
        <f>1</f>
        <v>1</v>
      </c>
      <c r="O114" s="28"/>
      <c r="P114" s="28"/>
      <c r="Q114" s="27">
        <f t="shared" si="4"/>
        <v>0</v>
      </c>
    </row>
    <row r="115" spans="1:20" s="4" customFormat="1" x14ac:dyDescent="0.25">
      <c r="A115" s="66"/>
      <c r="B115" s="11" t="s">
        <v>68</v>
      </c>
      <c r="C115" s="48" t="s">
        <v>17</v>
      </c>
      <c r="D115" s="49"/>
      <c r="E115" s="50" t="s">
        <v>32</v>
      </c>
      <c r="F115" s="22"/>
      <c r="G115" s="67" t="s">
        <v>105</v>
      </c>
      <c r="H115" s="48">
        <v>1</v>
      </c>
      <c r="I115" s="68"/>
      <c r="J115" s="37"/>
      <c r="K115" s="74"/>
      <c r="L115" s="74"/>
      <c r="M115" s="62">
        <f t="shared" si="3"/>
        <v>0</v>
      </c>
      <c r="N115" s="43"/>
      <c r="O115" s="26"/>
      <c r="P115" s="26"/>
      <c r="Q115" s="69">
        <f t="shared" si="4"/>
        <v>0</v>
      </c>
    </row>
    <row r="116" spans="1:20" s="3" customFormat="1" x14ac:dyDescent="0.25">
      <c r="A116" s="66"/>
      <c r="B116" s="11" t="s">
        <v>143</v>
      </c>
      <c r="C116" s="48" t="s">
        <v>17</v>
      </c>
      <c r="D116" s="49"/>
      <c r="E116" s="50" t="s">
        <v>20</v>
      </c>
      <c r="F116" s="51" t="s">
        <v>201</v>
      </c>
      <c r="G116" s="23" t="s">
        <v>102</v>
      </c>
      <c r="H116" s="24">
        <v>1</v>
      </c>
      <c r="I116" s="25"/>
      <c r="J116" s="37"/>
      <c r="K116" s="26"/>
      <c r="L116" s="26"/>
      <c r="M116" s="62">
        <f t="shared" si="3"/>
        <v>0</v>
      </c>
      <c r="N116" s="40">
        <f>4</f>
        <v>4</v>
      </c>
      <c r="O116" s="26"/>
      <c r="P116" s="26"/>
      <c r="Q116" s="27">
        <f>O116-P116</f>
        <v>0</v>
      </c>
    </row>
    <row r="117" spans="1:20" s="4" customFormat="1" x14ac:dyDescent="0.25">
      <c r="A117" s="66"/>
      <c r="B117" s="11" t="s">
        <v>125</v>
      </c>
      <c r="C117" s="48" t="s">
        <v>17</v>
      </c>
      <c r="D117" s="49"/>
      <c r="E117" s="50" t="s">
        <v>35</v>
      </c>
      <c r="F117" s="22"/>
      <c r="G117" s="23" t="s">
        <v>102</v>
      </c>
      <c r="H117" s="24"/>
      <c r="I117" s="25"/>
      <c r="J117" s="37"/>
      <c r="K117" s="26"/>
      <c r="L117" s="26"/>
      <c r="M117" s="62">
        <f t="shared" si="3"/>
        <v>0</v>
      </c>
      <c r="N117" s="43">
        <f>3+2</f>
        <v>5</v>
      </c>
      <c r="O117" s="26"/>
      <c r="P117" s="26"/>
      <c r="Q117" s="27">
        <f t="shared" si="4"/>
        <v>0</v>
      </c>
    </row>
    <row r="118" spans="1:20" s="4" customFormat="1" x14ac:dyDescent="0.25">
      <c r="A118" s="66"/>
      <c r="B118" s="70" t="s">
        <v>125</v>
      </c>
      <c r="C118" s="48" t="s">
        <v>17</v>
      </c>
      <c r="D118" s="49"/>
      <c r="E118" s="50" t="s">
        <v>32</v>
      </c>
      <c r="F118" s="22"/>
      <c r="G118" s="67" t="s">
        <v>107</v>
      </c>
      <c r="H118" s="48"/>
      <c r="I118" s="68"/>
      <c r="J118" s="37"/>
      <c r="K118" s="26"/>
      <c r="L118" s="26"/>
      <c r="M118" s="62">
        <f t="shared" si="3"/>
        <v>0</v>
      </c>
      <c r="N118" s="40">
        <f>1</f>
        <v>1</v>
      </c>
      <c r="O118" s="26"/>
      <c r="P118" s="26"/>
      <c r="Q118" s="69">
        <f t="shared" si="4"/>
        <v>0</v>
      </c>
    </row>
    <row r="119" spans="1:20" s="3" customFormat="1" x14ac:dyDescent="0.25">
      <c r="A119" s="66"/>
      <c r="B119" s="8" t="s">
        <v>69</v>
      </c>
      <c r="C119" s="48" t="s">
        <v>17</v>
      </c>
      <c r="D119" s="49"/>
      <c r="E119" s="50" t="s">
        <v>21</v>
      </c>
      <c r="F119" s="22"/>
      <c r="G119" s="23" t="s">
        <v>102</v>
      </c>
      <c r="H119" s="24">
        <v>1</v>
      </c>
      <c r="I119" s="25"/>
      <c r="J119" s="37"/>
      <c r="K119" s="26"/>
      <c r="L119" s="26"/>
      <c r="M119" s="62">
        <f t="shared" si="3"/>
        <v>0</v>
      </c>
      <c r="N119" s="40">
        <f>1</f>
        <v>1</v>
      </c>
      <c r="O119" s="28"/>
      <c r="P119" s="28"/>
      <c r="Q119" s="27">
        <f t="shared" si="4"/>
        <v>0</v>
      </c>
    </row>
    <row r="120" spans="1:20" s="3" customFormat="1" x14ac:dyDescent="0.25">
      <c r="A120" s="66"/>
      <c r="B120" s="8" t="s">
        <v>69</v>
      </c>
      <c r="C120" s="48" t="s">
        <v>17</v>
      </c>
      <c r="D120" s="49"/>
      <c r="E120" s="50" t="s">
        <v>21</v>
      </c>
      <c r="F120" s="22"/>
      <c r="G120" s="67" t="s">
        <v>108</v>
      </c>
      <c r="H120" s="48"/>
      <c r="I120" s="68"/>
      <c r="J120" s="37"/>
      <c r="K120" s="26"/>
      <c r="L120" s="26"/>
      <c r="M120" s="62">
        <f t="shared" si="3"/>
        <v>0</v>
      </c>
      <c r="N120" s="40"/>
      <c r="O120" s="62"/>
      <c r="P120" s="62"/>
      <c r="Q120" s="69">
        <f t="shared" si="4"/>
        <v>0</v>
      </c>
      <c r="T120" s="106"/>
    </row>
    <row r="121" spans="1:20" s="4" customFormat="1" x14ac:dyDescent="0.25">
      <c r="A121" s="66"/>
      <c r="B121" s="8" t="s">
        <v>70</v>
      </c>
      <c r="C121" s="48" t="s">
        <v>17</v>
      </c>
      <c r="D121" s="49"/>
      <c r="E121" s="50" t="s">
        <v>71</v>
      </c>
      <c r="F121" s="51" t="s">
        <v>202</v>
      </c>
      <c r="G121" s="23" t="s">
        <v>102</v>
      </c>
      <c r="H121" s="24">
        <v>3</v>
      </c>
      <c r="I121" s="25"/>
      <c r="J121" s="37"/>
      <c r="K121" s="26"/>
      <c r="L121" s="26"/>
      <c r="M121" s="62">
        <f t="shared" si="3"/>
        <v>0</v>
      </c>
      <c r="N121" s="40"/>
      <c r="O121" s="28"/>
      <c r="P121" s="28"/>
      <c r="Q121" s="27">
        <f t="shared" si="4"/>
        <v>0</v>
      </c>
    </row>
    <row r="122" spans="1:20" s="4" customFormat="1" x14ac:dyDescent="0.25">
      <c r="A122" s="66"/>
      <c r="B122" s="8" t="s">
        <v>70</v>
      </c>
      <c r="C122" s="48" t="s">
        <v>17</v>
      </c>
      <c r="D122" s="49"/>
      <c r="E122" s="50" t="s">
        <v>71</v>
      </c>
      <c r="F122" s="22"/>
      <c r="G122" s="67" t="s">
        <v>104</v>
      </c>
      <c r="H122" s="48"/>
      <c r="I122" s="68"/>
      <c r="J122" s="52"/>
      <c r="K122" s="26"/>
      <c r="L122" s="26"/>
      <c r="M122" s="62">
        <f t="shared" si="3"/>
        <v>0</v>
      </c>
      <c r="N122" s="40"/>
      <c r="O122" s="62"/>
      <c r="P122" s="62"/>
      <c r="Q122" s="69">
        <f t="shared" si="4"/>
        <v>0</v>
      </c>
    </row>
    <row r="123" spans="1:20" s="3" customFormat="1" x14ac:dyDescent="0.25">
      <c r="A123" s="66"/>
      <c r="B123" s="8" t="s">
        <v>115</v>
      </c>
      <c r="C123" s="48" t="s">
        <v>17</v>
      </c>
      <c r="D123" s="49"/>
      <c r="E123" s="54" t="s">
        <v>35</v>
      </c>
      <c r="F123" s="22"/>
      <c r="G123" s="23" t="s">
        <v>102</v>
      </c>
      <c r="H123" s="24">
        <v>1</v>
      </c>
      <c r="I123" s="25"/>
      <c r="J123" s="37"/>
      <c r="K123" s="26"/>
      <c r="L123" s="26"/>
      <c r="M123" s="62">
        <f t="shared" si="3"/>
        <v>0</v>
      </c>
      <c r="N123" s="40"/>
      <c r="O123" s="28"/>
      <c r="P123" s="28"/>
      <c r="Q123" s="69">
        <f t="shared" si="4"/>
        <v>0</v>
      </c>
    </row>
    <row r="124" spans="1:20" s="3" customFormat="1" x14ac:dyDescent="0.25">
      <c r="A124" s="66"/>
      <c r="B124" s="8" t="s">
        <v>115</v>
      </c>
      <c r="C124" s="48" t="s">
        <v>17</v>
      </c>
      <c r="D124" s="49"/>
      <c r="E124" s="54" t="s">
        <v>35</v>
      </c>
      <c r="F124" s="22"/>
      <c r="G124" s="67" t="s">
        <v>105</v>
      </c>
      <c r="H124" s="48"/>
      <c r="I124" s="68"/>
      <c r="J124" s="37"/>
      <c r="K124" s="26"/>
      <c r="L124" s="26"/>
      <c r="M124" s="62">
        <f t="shared" si="3"/>
        <v>0</v>
      </c>
      <c r="N124" s="40"/>
      <c r="O124" s="62"/>
      <c r="P124" s="62"/>
      <c r="Q124" s="27">
        <f t="shared" si="4"/>
        <v>0</v>
      </c>
    </row>
    <row r="125" spans="1:20" s="3" customFormat="1" x14ac:dyDescent="0.25">
      <c r="A125" s="66"/>
      <c r="B125" s="8" t="s">
        <v>120</v>
      </c>
      <c r="C125" s="48" t="s">
        <v>17</v>
      </c>
      <c r="D125" s="49"/>
      <c r="E125" s="54" t="s">
        <v>20</v>
      </c>
      <c r="F125" s="51" t="s">
        <v>203</v>
      </c>
      <c r="G125" s="23" t="s">
        <v>102</v>
      </c>
      <c r="H125" s="24"/>
      <c r="I125" s="29"/>
      <c r="J125" s="37"/>
      <c r="K125" s="26"/>
      <c r="L125" s="26"/>
      <c r="M125" s="62">
        <f t="shared" si="3"/>
        <v>0</v>
      </c>
      <c r="N125" s="40">
        <f>1+1</f>
        <v>2</v>
      </c>
      <c r="O125" s="28"/>
      <c r="P125" s="28"/>
      <c r="Q125" s="69">
        <f t="shared" si="4"/>
        <v>0</v>
      </c>
    </row>
    <row r="126" spans="1:20" s="3" customFormat="1" x14ac:dyDescent="0.25">
      <c r="A126" s="66"/>
      <c r="B126" s="8" t="s">
        <v>120</v>
      </c>
      <c r="C126" s="48" t="s">
        <v>17</v>
      </c>
      <c r="D126" s="49"/>
      <c r="E126" s="54" t="s">
        <v>20</v>
      </c>
      <c r="F126" s="22"/>
      <c r="G126" s="67" t="s">
        <v>104</v>
      </c>
      <c r="H126" s="48">
        <v>1</v>
      </c>
      <c r="I126" s="68"/>
      <c r="J126" s="52"/>
      <c r="K126" s="26"/>
      <c r="L126" s="26"/>
      <c r="M126" s="62">
        <f t="shared" si="3"/>
        <v>0</v>
      </c>
      <c r="N126" s="40"/>
      <c r="O126" s="62"/>
      <c r="P126" s="62"/>
      <c r="Q126" s="69">
        <f t="shared" si="4"/>
        <v>0</v>
      </c>
    </row>
    <row r="127" spans="1:20" s="3" customFormat="1" x14ac:dyDescent="0.25">
      <c r="A127" s="66"/>
      <c r="B127" s="11" t="s">
        <v>72</v>
      </c>
      <c r="C127" s="48" t="s">
        <v>17</v>
      </c>
      <c r="D127" s="49"/>
      <c r="E127" s="50" t="s">
        <v>20</v>
      </c>
      <c r="F127" s="51" t="s">
        <v>204</v>
      </c>
      <c r="G127" s="23" t="s">
        <v>102</v>
      </c>
      <c r="H127" s="24">
        <v>3</v>
      </c>
      <c r="I127" s="25">
        <v>1</v>
      </c>
      <c r="J127" s="37">
        <f>1</f>
        <v>1</v>
      </c>
      <c r="K127" s="26"/>
      <c r="L127" s="26"/>
      <c r="M127" s="62">
        <f t="shared" si="3"/>
        <v>0</v>
      </c>
      <c r="N127" s="40">
        <f>2+4</f>
        <v>6</v>
      </c>
      <c r="O127" s="28"/>
      <c r="P127" s="28"/>
      <c r="Q127" s="69">
        <f t="shared" si="4"/>
        <v>0</v>
      </c>
    </row>
    <row r="128" spans="1:20" s="3" customFormat="1" x14ac:dyDescent="0.25">
      <c r="A128" s="66"/>
      <c r="B128" s="11" t="s">
        <v>72</v>
      </c>
      <c r="C128" s="48" t="s">
        <v>17</v>
      </c>
      <c r="D128" s="49"/>
      <c r="E128" s="50" t="s">
        <v>20</v>
      </c>
      <c r="F128" s="22"/>
      <c r="G128" s="67" t="s">
        <v>104</v>
      </c>
      <c r="H128" s="48">
        <v>1</v>
      </c>
      <c r="I128" s="68"/>
      <c r="J128" s="52"/>
      <c r="K128" s="26"/>
      <c r="L128" s="26"/>
      <c r="M128" s="62">
        <f t="shared" si="3"/>
        <v>0</v>
      </c>
      <c r="N128" s="40">
        <f>1</f>
        <v>1</v>
      </c>
      <c r="O128" s="62"/>
      <c r="P128" s="62"/>
      <c r="Q128" s="69">
        <f t="shared" si="4"/>
        <v>0</v>
      </c>
    </row>
    <row r="129" spans="1:17" s="3" customFormat="1" x14ac:dyDescent="0.25">
      <c r="A129" s="66"/>
      <c r="B129" s="8" t="s">
        <v>73</v>
      </c>
      <c r="C129" s="48" t="s">
        <v>17</v>
      </c>
      <c r="D129" s="49"/>
      <c r="E129" s="50" t="s">
        <v>32</v>
      </c>
      <c r="F129" s="22"/>
      <c r="G129" s="23" t="s">
        <v>102</v>
      </c>
      <c r="H129" s="24">
        <v>1</v>
      </c>
      <c r="I129" s="25"/>
      <c r="J129" s="37"/>
      <c r="K129" s="26"/>
      <c r="L129" s="26"/>
      <c r="M129" s="62">
        <f t="shared" si="3"/>
        <v>0</v>
      </c>
      <c r="N129" s="40">
        <f>4</f>
        <v>4</v>
      </c>
      <c r="O129" s="28"/>
      <c r="P129" s="28"/>
      <c r="Q129" s="69">
        <f t="shared" si="4"/>
        <v>0</v>
      </c>
    </row>
    <row r="130" spans="1:17" s="3" customFormat="1" x14ac:dyDescent="0.25">
      <c r="A130" s="66"/>
      <c r="B130" s="8" t="s">
        <v>73</v>
      </c>
      <c r="C130" s="48" t="s">
        <v>17</v>
      </c>
      <c r="D130" s="49"/>
      <c r="E130" s="50" t="s">
        <v>32</v>
      </c>
      <c r="F130" s="22"/>
      <c r="G130" s="67" t="s">
        <v>107</v>
      </c>
      <c r="H130" s="48"/>
      <c r="I130" s="68"/>
      <c r="J130" s="37"/>
      <c r="K130" s="26"/>
      <c r="L130" s="26"/>
      <c r="M130" s="62">
        <f t="shared" si="3"/>
        <v>0</v>
      </c>
      <c r="N130" s="40"/>
      <c r="O130" s="62"/>
      <c r="P130" s="62"/>
      <c r="Q130" s="27">
        <f t="shared" si="4"/>
        <v>0</v>
      </c>
    </row>
    <row r="131" spans="1:17" s="3" customFormat="1" x14ac:dyDescent="0.25">
      <c r="A131" s="66"/>
      <c r="B131" s="8" t="s">
        <v>144</v>
      </c>
      <c r="C131" s="48" t="s">
        <v>17</v>
      </c>
      <c r="D131" s="49"/>
      <c r="E131" s="50" t="s">
        <v>21</v>
      </c>
      <c r="F131" s="22"/>
      <c r="G131" s="67" t="s">
        <v>102</v>
      </c>
      <c r="H131" s="48"/>
      <c r="I131" s="68"/>
      <c r="J131" s="37"/>
      <c r="K131" s="26"/>
      <c r="L131" s="26"/>
      <c r="M131" s="62">
        <f t="shared" si="3"/>
        <v>0</v>
      </c>
      <c r="N131" s="40"/>
      <c r="O131" s="62"/>
      <c r="P131" s="62"/>
      <c r="Q131" s="27">
        <f t="shared" si="4"/>
        <v>0</v>
      </c>
    </row>
    <row r="132" spans="1:17" s="3" customFormat="1" ht="30" x14ac:dyDescent="0.25">
      <c r="A132" s="66"/>
      <c r="B132" s="11" t="s">
        <v>74</v>
      </c>
      <c r="C132" s="48" t="s">
        <v>135</v>
      </c>
      <c r="D132" s="49" t="s">
        <v>146</v>
      </c>
      <c r="E132" s="50" t="s">
        <v>18</v>
      </c>
      <c r="F132" s="22"/>
      <c r="G132" s="23" t="s">
        <v>102</v>
      </c>
      <c r="H132" s="24">
        <v>1</v>
      </c>
      <c r="I132" s="25"/>
      <c r="J132" s="38"/>
      <c r="K132" s="26"/>
      <c r="L132" s="26"/>
      <c r="M132" s="62">
        <f t="shared" si="3"/>
        <v>0</v>
      </c>
      <c r="N132" s="40"/>
      <c r="O132" s="28"/>
      <c r="P132" s="28"/>
      <c r="Q132" s="69">
        <f t="shared" si="4"/>
        <v>0</v>
      </c>
    </row>
    <row r="133" spans="1:17" s="3" customFormat="1" ht="30" x14ac:dyDescent="0.25">
      <c r="A133" s="66"/>
      <c r="B133" s="11" t="s">
        <v>74</v>
      </c>
      <c r="C133" s="48" t="s">
        <v>135</v>
      </c>
      <c r="D133" s="49" t="s">
        <v>155</v>
      </c>
      <c r="E133" s="50" t="s">
        <v>18</v>
      </c>
      <c r="F133" s="22"/>
      <c r="G133" s="80" t="s">
        <v>106</v>
      </c>
      <c r="H133" s="48">
        <v>1</v>
      </c>
      <c r="I133" s="71"/>
      <c r="J133" s="38"/>
      <c r="K133" s="62"/>
      <c r="L133" s="62"/>
      <c r="M133" s="62">
        <f t="shared" si="3"/>
        <v>0</v>
      </c>
      <c r="N133" s="40"/>
      <c r="O133" s="62"/>
      <c r="P133" s="62"/>
      <c r="Q133" s="27">
        <f t="shared" si="4"/>
        <v>0</v>
      </c>
    </row>
    <row r="134" spans="1:17" s="3" customFormat="1" x14ac:dyDescent="0.25">
      <c r="A134" s="66"/>
      <c r="B134" s="11" t="s">
        <v>126</v>
      </c>
      <c r="C134" s="48" t="s">
        <v>17</v>
      </c>
      <c r="D134" s="49"/>
      <c r="E134" s="50" t="s">
        <v>32</v>
      </c>
      <c r="F134" s="22"/>
      <c r="G134" s="23" t="s">
        <v>102</v>
      </c>
      <c r="H134" s="24">
        <v>1</v>
      </c>
      <c r="I134" s="29"/>
      <c r="J134" s="37"/>
      <c r="K134" s="28"/>
      <c r="L134" s="28"/>
      <c r="M134" s="62">
        <f t="shared" si="3"/>
        <v>0</v>
      </c>
      <c r="N134" s="40">
        <f>3</f>
        <v>3</v>
      </c>
      <c r="O134" s="28"/>
      <c r="P134" s="28"/>
      <c r="Q134" s="69">
        <f t="shared" si="4"/>
        <v>0</v>
      </c>
    </row>
    <row r="135" spans="1:17" s="3" customFormat="1" x14ac:dyDescent="0.25">
      <c r="A135" s="66"/>
      <c r="B135" s="11" t="s">
        <v>126</v>
      </c>
      <c r="C135" s="48" t="s">
        <v>17</v>
      </c>
      <c r="D135" s="49"/>
      <c r="E135" s="50" t="s">
        <v>32</v>
      </c>
      <c r="F135" s="22"/>
      <c r="G135" s="67" t="s">
        <v>107</v>
      </c>
      <c r="H135" s="48">
        <v>2</v>
      </c>
      <c r="I135" s="68"/>
      <c r="J135" s="37"/>
      <c r="K135" s="26"/>
      <c r="L135" s="26"/>
      <c r="M135" s="62">
        <f t="shared" si="3"/>
        <v>0</v>
      </c>
      <c r="N135" s="40"/>
      <c r="O135" s="62"/>
      <c r="P135" s="62"/>
      <c r="Q135" s="27">
        <f t="shared" si="4"/>
        <v>0</v>
      </c>
    </row>
    <row r="136" spans="1:17" s="3" customFormat="1" x14ac:dyDescent="0.25">
      <c r="A136" s="66"/>
      <c r="B136" s="11" t="s">
        <v>75</v>
      </c>
      <c r="C136" s="48" t="s">
        <v>17</v>
      </c>
      <c r="D136" s="49"/>
      <c r="E136" s="50" t="s">
        <v>76</v>
      </c>
      <c r="F136" s="22"/>
      <c r="G136" s="23" t="s">
        <v>102</v>
      </c>
      <c r="H136" s="24"/>
      <c r="I136" s="25"/>
      <c r="J136" s="37"/>
      <c r="K136" s="26"/>
      <c r="L136" s="26"/>
      <c r="M136" s="62">
        <f t="shared" si="3"/>
        <v>0</v>
      </c>
      <c r="N136" s="40"/>
      <c r="O136" s="28"/>
      <c r="P136" s="28"/>
      <c r="Q136" s="69">
        <f t="shared" si="4"/>
        <v>0</v>
      </c>
    </row>
    <row r="137" spans="1:17" s="3" customFormat="1" x14ac:dyDescent="0.25">
      <c r="A137" s="66"/>
      <c r="B137" s="11" t="s">
        <v>75</v>
      </c>
      <c r="C137" s="48" t="s">
        <v>17</v>
      </c>
      <c r="D137" s="49"/>
      <c r="E137" s="50" t="s">
        <v>76</v>
      </c>
      <c r="F137" s="22"/>
      <c r="G137" s="67" t="s">
        <v>104</v>
      </c>
      <c r="H137" s="48"/>
      <c r="I137" s="68"/>
      <c r="J137" s="52"/>
      <c r="K137" s="26"/>
      <c r="L137" s="26"/>
      <c r="M137" s="62">
        <f t="shared" si="3"/>
        <v>0</v>
      </c>
      <c r="N137" s="40"/>
      <c r="O137" s="62"/>
      <c r="P137" s="62"/>
      <c r="Q137" s="69">
        <f t="shared" si="4"/>
        <v>0</v>
      </c>
    </row>
    <row r="138" spans="1:17" s="3" customFormat="1" x14ac:dyDescent="0.25">
      <c r="A138" s="66"/>
      <c r="B138" s="8" t="s">
        <v>77</v>
      </c>
      <c r="C138" s="48" t="s">
        <v>17</v>
      </c>
      <c r="D138" s="49"/>
      <c r="E138" s="50" t="s">
        <v>20</v>
      </c>
      <c r="F138" s="51" t="s">
        <v>205</v>
      </c>
      <c r="G138" s="23" t="s">
        <v>102</v>
      </c>
      <c r="H138" s="24"/>
      <c r="I138" s="25"/>
      <c r="J138" s="37"/>
      <c r="K138" s="26"/>
      <c r="L138" s="26"/>
      <c r="M138" s="62">
        <f t="shared" si="3"/>
        <v>0</v>
      </c>
      <c r="N138" s="40">
        <f>3+1</f>
        <v>4</v>
      </c>
      <c r="O138" s="28"/>
      <c r="P138" s="28"/>
      <c r="Q138" s="69">
        <f t="shared" si="4"/>
        <v>0</v>
      </c>
    </row>
    <row r="139" spans="1:17" s="3" customFormat="1" x14ac:dyDescent="0.25">
      <c r="A139" s="66"/>
      <c r="B139" s="8" t="s">
        <v>77</v>
      </c>
      <c r="C139" s="48" t="s">
        <v>17</v>
      </c>
      <c r="D139" s="49"/>
      <c r="E139" s="50" t="s">
        <v>20</v>
      </c>
      <c r="F139" s="22"/>
      <c r="G139" s="67" t="s">
        <v>104</v>
      </c>
      <c r="H139" s="48"/>
      <c r="I139" s="68"/>
      <c r="J139" s="52"/>
      <c r="K139" s="26"/>
      <c r="L139" s="26"/>
      <c r="M139" s="62">
        <f t="shared" si="3"/>
        <v>0</v>
      </c>
      <c r="N139" s="40">
        <f>2</f>
        <v>2</v>
      </c>
      <c r="O139" s="62"/>
      <c r="P139" s="62"/>
      <c r="Q139" s="69">
        <f t="shared" si="4"/>
        <v>0</v>
      </c>
    </row>
    <row r="140" spans="1:17" s="3" customFormat="1" x14ac:dyDescent="0.25">
      <c r="A140" s="66"/>
      <c r="B140" s="8" t="s">
        <v>138</v>
      </c>
      <c r="C140" s="48" t="s">
        <v>17</v>
      </c>
      <c r="D140" s="49"/>
      <c r="E140" s="50" t="s">
        <v>20</v>
      </c>
      <c r="F140" s="51" t="s">
        <v>206</v>
      </c>
      <c r="G140" s="67" t="s">
        <v>102</v>
      </c>
      <c r="H140" s="48"/>
      <c r="I140" s="68"/>
      <c r="J140" s="52"/>
      <c r="K140" s="26"/>
      <c r="L140" s="26"/>
      <c r="M140" s="62">
        <f t="shared" ref="M140:M194" si="5">K140-L140</f>
        <v>0</v>
      </c>
      <c r="N140" s="40">
        <f>2</f>
        <v>2</v>
      </c>
      <c r="O140" s="62"/>
      <c r="P140" s="62"/>
      <c r="Q140" s="69">
        <f t="shared" si="4"/>
        <v>0</v>
      </c>
    </row>
    <row r="141" spans="1:17" s="3" customFormat="1" x14ac:dyDescent="0.25">
      <c r="A141" s="66"/>
      <c r="B141" s="8" t="s">
        <v>127</v>
      </c>
      <c r="C141" s="48" t="s">
        <v>17</v>
      </c>
      <c r="D141" s="49"/>
      <c r="E141" s="50" t="s">
        <v>35</v>
      </c>
      <c r="F141" s="22"/>
      <c r="G141" s="23" t="s">
        <v>102</v>
      </c>
      <c r="H141" s="24"/>
      <c r="I141" s="25"/>
      <c r="J141" s="37"/>
      <c r="K141" s="26"/>
      <c r="L141" s="26"/>
      <c r="M141" s="62">
        <f t="shared" si="5"/>
        <v>0</v>
      </c>
      <c r="N141" s="40"/>
      <c r="O141" s="28"/>
      <c r="P141" s="28"/>
      <c r="Q141" s="69">
        <f t="shared" si="4"/>
        <v>0</v>
      </c>
    </row>
    <row r="142" spans="1:17" s="3" customFormat="1" x14ac:dyDescent="0.25">
      <c r="A142" s="66"/>
      <c r="B142" s="8" t="s">
        <v>78</v>
      </c>
      <c r="C142" s="48" t="s">
        <v>17</v>
      </c>
      <c r="D142" s="49"/>
      <c r="E142" s="50" t="s">
        <v>20</v>
      </c>
      <c r="F142" s="51" t="s">
        <v>207</v>
      </c>
      <c r="G142" s="23" t="s">
        <v>102</v>
      </c>
      <c r="H142" s="24">
        <v>1</v>
      </c>
      <c r="I142" s="25"/>
      <c r="J142" s="37"/>
      <c r="K142" s="26"/>
      <c r="L142" s="26"/>
      <c r="M142" s="62">
        <f t="shared" si="5"/>
        <v>0</v>
      </c>
      <c r="N142" s="40">
        <f>3</f>
        <v>3</v>
      </c>
      <c r="O142" s="28"/>
      <c r="P142" s="28"/>
      <c r="Q142" s="69">
        <f t="shared" si="4"/>
        <v>0</v>
      </c>
    </row>
    <row r="143" spans="1:17" s="3" customFormat="1" x14ac:dyDescent="0.25">
      <c r="A143" s="66"/>
      <c r="B143" s="8" t="s">
        <v>78</v>
      </c>
      <c r="C143" s="48" t="s">
        <v>17</v>
      </c>
      <c r="D143" s="49"/>
      <c r="E143" s="50" t="s">
        <v>20</v>
      </c>
      <c r="F143" s="22"/>
      <c r="G143" s="67" t="s">
        <v>104</v>
      </c>
      <c r="H143" s="48">
        <v>2</v>
      </c>
      <c r="I143" s="68"/>
      <c r="J143" s="52"/>
      <c r="K143" s="26"/>
      <c r="L143" s="26"/>
      <c r="M143" s="62">
        <f t="shared" si="5"/>
        <v>0</v>
      </c>
      <c r="N143" s="40">
        <f>2</f>
        <v>2</v>
      </c>
      <c r="O143" s="62"/>
      <c r="P143" s="62"/>
      <c r="Q143" s="69">
        <f t="shared" si="4"/>
        <v>0</v>
      </c>
    </row>
    <row r="144" spans="1:17" s="3" customFormat="1" ht="45" x14ac:dyDescent="0.25">
      <c r="A144" s="66"/>
      <c r="B144" s="8" t="s">
        <v>79</v>
      </c>
      <c r="C144" s="48" t="s">
        <v>135</v>
      </c>
      <c r="D144" s="49" t="s">
        <v>149</v>
      </c>
      <c r="E144" s="50" t="s">
        <v>20</v>
      </c>
      <c r="F144" s="22"/>
      <c r="G144" s="23" t="s">
        <v>102</v>
      </c>
      <c r="H144" s="24"/>
      <c r="I144" s="25"/>
      <c r="J144" s="38"/>
      <c r="K144" s="26"/>
      <c r="L144" s="26"/>
      <c r="M144" s="62">
        <f t="shared" si="5"/>
        <v>0</v>
      </c>
      <c r="N144" s="40"/>
      <c r="O144" s="28"/>
      <c r="P144" s="28"/>
      <c r="Q144" s="27">
        <f t="shared" si="4"/>
        <v>0</v>
      </c>
    </row>
    <row r="145" spans="1:20" s="3" customFormat="1" x14ac:dyDescent="0.25">
      <c r="A145" s="66"/>
      <c r="B145" s="7" t="s">
        <v>80</v>
      </c>
      <c r="C145" s="48" t="s">
        <v>17</v>
      </c>
      <c r="D145" s="49"/>
      <c r="E145" s="54" t="s">
        <v>20</v>
      </c>
      <c r="F145" s="51" t="s">
        <v>208</v>
      </c>
      <c r="G145" s="23" t="s">
        <v>102</v>
      </c>
      <c r="H145" s="24">
        <v>1</v>
      </c>
      <c r="I145" s="25"/>
      <c r="J145" s="37"/>
      <c r="K145" s="26"/>
      <c r="L145" s="26"/>
      <c r="M145" s="62">
        <f t="shared" si="5"/>
        <v>0</v>
      </c>
      <c r="N145" s="40">
        <f>5</f>
        <v>5</v>
      </c>
      <c r="O145" s="28"/>
      <c r="P145" s="28"/>
      <c r="Q145" s="69">
        <f t="shared" si="4"/>
        <v>0</v>
      </c>
    </row>
    <row r="146" spans="1:20" s="3" customFormat="1" x14ac:dyDescent="0.25">
      <c r="A146" s="66"/>
      <c r="B146" s="7" t="s">
        <v>80</v>
      </c>
      <c r="C146" s="48" t="s">
        <v>17</v>
      </c>
      <c r="D146" s="49"/>
      <c r="E146" s="54" t="s">
        <v>20</v>
      </c>
      <c r="F146" s="22"/>
      <c r="G146" s="67" t="s">
        <v>104</v>
      </c>
      <c r="H146" s="48">
        <v>2</v>
      </c>
      <c r="I146" s="68"/>
      <c r="J146" s="52"/>
      <c r="K146" s="26"/>
      <c r="L146" s="26"/>
      <c r="M146" s="62">
        <f t="shared" si="5"/>
        <v>0</v>
      </c>
      <c r="N146" s="40"/>
      <c r="O146" s="62"/>
      <c r="P146" s="62"/>
      <c r="Q146" s="69">
        <f t="shared" si="4"/>
        <v>0</v>
      </c>
    </row>
    <row r="147" spans="1:20" s="3" customFormat="1" x14ac:dyDescent="0.25">
      <c r="A147" s="66"/>
      <c r="B147" s="7" t="s">
        <v>81</v>
      </c>
      <c r="C147" s="48" t="s">
        <v>17</v>
      </c>
      <c r="D147" s="49"/>
      <c r="E147" s="54" t="s">
        <v>20</v>
      </c>
      <c r="F147" s="51" t="s">
        <v>209</v>
      </c>
      <c r="G147" s="85" t="s">
        <v>102</v>
      </c>
      <c r="H147" s="48">
        <v>1</v>
      </c>
      <c r="I147" s="68"/>
      <c r="J147" s="52"/>
      <c r="K147" s="26"/>
      <c r="L147" s="26"/>
      <c r="M147" s="62">
        <f t="shared" si="5"/>
        <v>0</v>
      </c>
      <c r="N147" s="40"/>
      <c r="O147" s="62"/>
      <c r="P147" s="62"/>
      <c r="Q147" s="69"/>
    </row>
    <row r="148" spans="1:20" s="3" customFormat="1" x14ac:dyDescent="0.25">
      <c r="A148" s="66"/>
      <c r="B148" s="11" t="s">
        <v>139</v>
      </c>
      <c r="C148" s="48" t="s">
        <v>17</v>
      </c>
      <c r="D148" s="49"/>
      <c r="E148" s="54" t="s">
        <v>20</v>
      </c>
      <c r="F148" s="22"/>
      <c r="G148" s="23" t="s">
        <v>102</v>
      </c>
      <c r="H148" s="24"/>
      <c r="I148" s="25"/>
      <c r="J148" s="37"/>
      <c r="K148" s="26"/>
      <c r="L148" s="26"/>
      <c r="M148" s="62">
        <f t="shared" si="5"/>
        <v>0</v>
      </c>
      <c r="N148" s="40"/>
      <c r="O148" s="28"/>
      <c r="P148" s="28"/>
      <c r="Q148" s="69">
        <f t="shared" si="4"/>
        <v>0</v>
      </c>
    </row>
    <row r="149" spans="1:20" s="3" customFormat="1" x14ac:dyDescent="0.25">
      <c r="A149" s="66"/>
      <c r="B149" s="11" t="s">
        <v>139</v>
      </c>
      <c r="C149" s="48"/>
      <c r="D149" s="49"/>
      <c r="E149" s="54"/>
      <c r="F149" s="22"/>
      <c r="G149" s="23" t="s">
        <v>104</v>
      </c>
      <c r="H149" s="24"/>
      <c r="I149" s="25"/>
      <c r="J149" s="37"/>
      <c r="K149" s="26"/>
      <c r="L149" s="26"/>
      <c r="M149" s="62">
        <f t="shared" si="5"/>
        <v>0</v>
      </c>
      <c r="N149" s="40"/>
      <c r="O149" s="28"/>
      <c r="P149" s="28"/>
      <c r="Q149" s="69"/>
    </row>
    <row r="150" spans="1:20" s="3" customFormat="1" x14ac:dyDescent="0.25">
      <c r="A150" s="66"/>
      <c r="B150" s="11" t="s">
        <v>161</v>
      </c>
      <c r="C150" s="48" t="s">
        <v>17</v>
      </c>
      <c r="D150" s="49"/>
      <c r="E150" s="54" t="s">
        <v>20</v>
      </c>
      <c r="F150" s="22"/>
      <c r="G150" s="23" t="s">
        <v>102</v>
      </c>
      <c r="H150" s="24"/>
      <c r="I150" s="25"/>
      <c r="J150" s="37"/>
      <c r="K150" s="26"/>
      <c r="L150" s="26"/>
      <c r="M150" s="62">
        <f t="shared" si="5"/>
        <v>0</v>
      </c>
      <c r="N150" s="40"/>
      <c r="O150" s="28"/>
      <c r="P150" s="28"/>
      <c r="Q150" s="69">
        <f t="shared" ref="Q150:Q195" si="6">O150-P150</f>
        <v>0</v>
      </c>
    </row>
    <row r="151" spans="1:20" s="3" customFormat="1" x14ac:dyDescent="0.25">
      <c r="A151" s="66"/>
      <c r="B151" s="11" t="s">
        <v>161</v>
      </c>
      <c r="C151" s="48" t="s">
        <v>17</v>
      </c>
      <c r="D151" s="49"/>
      <c r="E151" s="54" t="s">
        <v>20</v>
      </c>
      <c r="F151" s="22"/>
      <c r="G151" s="23" t="s">
        <v>104</v>
      </c>
      <c r="H151" s="24">
        <v>3</v>
      </c>
      <c r="I151" s="25"/>
      <c r="J151" s="37"/>
      <c r="K151" s="26"/>
      <c r="L151" s="26"/>
      <c r="M151" s="62">
        <f t="shared" si="5"/>
        <v>0</v>
      </c>
      <c r="N151" s="40">
        <f>7</f>
        <v>7</v>
      </c>
      <c r="O151" s="28"/>
      <c r="P151" s="28"/>
      <c r="Q151" s="69">
        <f t="shared" si="6"/>
        <v>0</v>
      </c>
    </row>
    <row r="152" spans="1:20" s="3" customFormat="1" x14ac:dyDescent="0.25">
      <c r="A152" s="66"/>
      <c r="B152" s="11" t="s">
        <v>168</v>
      </c>
      <c r="C152" s="48"/>
      <c r="D152" s="49"/>
      <c r="E152" s="54"/>
      <c r="F152" s="51" t="s">
        <v>210</v>
      </c>
      <c r="G152" s="23" t="s">
        <v>102</v>
      </c>
      <c r="H152" s="24">
        <v>1</v>
      </c>
      <c r="I152" s="25">
        <v>1</v>
      </c>
      <c r="J152" s="37">
        <f>1</f>
        <v>1</v>
      </c>
      <c r="K152" s="26"/>
      <c r="L152" s="26"/>
      <c r="M152" s="62">
        <f t="shared" si="5"/>
        <v>0</v>
      </c>
      <c r="N152" s="40">
        <f>2</f>
        <v>2</v>
      </c>
      <c r="O152" s="28"/>
      <c r="P152" s="28"/>
      <c r="Q152" s="69"/>
    </row>
    <row r="153" spans="1:20" s="3" customFormat="1" x14ac:dyDescent="0.25">
      <c r="A153" s="66"/>
      <c r="B153" s="11" t="s">
        <v>168</v>
      </c>
      <c r="C153" s="48"/>
      <c r="D153" s="49"/>
      <c r="E153" s="54"/>
      <c r="F153" s="22"/>
      <c r="G153" s="23" t="s">
        <v>106</v>
      </c>
      <c r="H153" s="24"/>
      <c r="I153" s="25"/>
      <c r="J153" s="37"/>
      <c r="K153" s="26"/>
      <c r="L153" s="26"/>
      <c r="M153" s="62">
        <f t="shared" si="5"/>
        <v>0</v>
      </c>
      <c r="N153" s="40"/>
      <c r="O153" s="28"/>
      <c r="P153" s="28"/>
      <c r="Q153" s="69"/>
    </row>
    <row r="154" spans="1:20" s="3" customFormat="1" x14ac:dyDescent="0.25">
      <c r="A154" s="66"/>
      <c r="B154" s="8" t="s">
        <v>82</v>
      </c>
      <c r="C154" s="48" t="s">
        <v>17</v>
      </c>
      <c r="D154" s="49"/>
      <c r="E154" s="50" t="s">
        <v>83</v>
      </c>
      <c r="F154" s="22"/>
      <c r="G154" s="23" t="s">
        <v>102</v>
      </c>
      <c r="H154" s="24">
        <v>13</v>
      </c>
      <c r="I154" s="25"/>
      <c r="J154" s="37"/>
      <c r="K154" s="26"/>
      <c r="L154" s="26"/>
      <c r="M154" s="62">
        <f t="shared" si="5"/>
        <v>0</v>
      </c>
      <c r="N154" s="40">
        <f>8</f>
        <v>8</v>
      </c>
      <c r="O154" s="28"/>
      <c r="P154" s="28"/>
      <c r="Q154" s="27">
        <f t="shared" si="6"/>
        <v>0</v>
      </c>
    </row>
    <row r="155" spans="1:20" s="3" customFormat="1" x14ac:dyDescent="0.25">
      <c r="A155" s="66"/>
      <c r="B155" s="8" t="s">
        <v>82</v>
      </c>
      <c r="C155" s="48" t="s">
        <v>17</v>
      </c>
      <c r="D155" s="49"/>
      <c r="E155" s="50" t="s">
        <v>83</v>
      </c>
      <c r="F155" s="22"/>
      <c r="G155" s="67" t="s">
        <v>108</v>
      </c>
      <c r="H155" s="48">
        <v>1</v>
      </c>
      <c r="I155" s="68"/>
      <c r="J155" s="37"/>
      <c r="K155" s="26"/>
      <c r="L155" s="26"/>
      <c r="M155" s="62">
        <f t="shared" si="5"/>
        <v>0</v>
      </c>
      <c r="N155" s="40"/>
      <c r="O155" s="62"/>
      <c r="P155" s="62"/>
      <c r="Q155" s="69">
        <f t="shared" si="6"/>
        <v>0</v>
      </c>
      <c r="T155" s="106"/>
    </row>
    <row r="156" spans="1:20" s="3" customFormat="1" x14ac:dyDescent="0.25">
      <c r="A156" s="66"/>
      <c r="B156" s="8" t="s">
        <v>82</v>
      </c>
      <c r="C156" s="48" t="s">
        <v>17</v>
      </c>
      <c r="D156" s="49"/>
      <c r="E156" s="54" t="s">
        <v>164</v>
      </c>
      <c r="F156" s="22"/>
      <c r="G156" s="67" t="s">
        <v>104</v>
      </c>
      <c r="H156" s="48"/>
      <c r="I156" s="68"/>
      <c r="J156" s="37"/>
      <c r="K156" s="26"/>
      <c r="L156" s="26"/>
      <c r="M156" s="62">
        <f t="shared" si="5"/>
        <v>0</v>
      </c>
      <c r="N156" s="40"/>
      <c r="O156" s="62"/>
      <c r="P156" s="62"/>
      <c r="Q156" s="69">
        <f t="shared" si="6"/>
        <v>0</v>
      </c>
    </row>
    <row r="157" spans="1:20" s="3" customFormat="1" x14ac:dyDescent="0.25">
      <c r="A157" s="66"/>
      <c r="B157" s="8" t="s">
        <v>84</v>
      </c>
      <c r="C157" s="48" t="s">
        <v>17</v>
      </c>
      <c r="D157" s="49"/>
      <c r="E157" s="54" t="s">
        <v>20</v>
      </c>
      <c r="F157" s="51" t="s">
        <v>211</v>
      </c>
      <c r="G157" s="23" t="s">
        <v>102</v>
      </c>
      <c r="H157" s="24"/>
      <c r="I157" s="25"/>
      <c r="J157" s="37"/>
      <c r="K157" s="26"/>
      <c r="L157" s="26"/>
      <c r="M157" s="62">
        <f t="shared" si="5"/>
        <v>0</v>
      </c>
      <c r="N157" s="40">
        <f>3</f>
        <v>3</v>
      </c>
      <c r="O157" s="28"/>
      <c r="P157" s="28"/>
      <c r="Q157" s="27">
        <f t="shared" si="6"/>
        <v>0</v>
      </c>
    </row>
    <row r="158" spans="1:20" s="3" customFormat="1" x14ac:dyDescent="0.25">
      <c r="A158" s="66"/>
      <c r="B158" s="8" t="s">
        <v>84</v>
      </c>
      <c r="C158" s="48" t="s">
        <v>17</v>
      </c>
      <c r="D158" s="49"/>
      <c r="E158" s="54" t="s">
        <v>20</v>
      </c>
      <c r="F158" s="22"/>
      <c r="G158" s="67" t="s">
        <v>104</v>
      </c>
      <c r="H158" s="48">
        <v>1</v>
      </c>
      <c r="I158" s="68"/>
      <c r="J158" s="52"/>
      <c r="K158" s="26"/>
      <c r="L158" s="26"/>
      <c r="M158" s="62">
        <f t="shared" si="5"/>
        <v>0</v>
      </c>
      <c r="N158" s="40"/>
      <c r="O158" s="62"/>
      <c r="P158" s="62"/>
      <c r="Q158" s="69">
        <f t="shared" si="6"/>
        <v>0</v>
      </c>
    </row>
    <row r="159" spans="1:20" s="3" customFormat="1" x14ac:dyDescent="0.25">
      <c r="A159" s="66"/>
      <c r="B159" s="8" t="s">
        <v>85</v>
      </c>
      <c r="C159" s="48" t="s">
        <v>17</v>
      </c>
      <c r="D159" s="49"/>
      <c r="E159" s="54" t="s">
        <v>20</v>
      </c>
      <c r="F159" s="22"/>
      <c r="G159" s="23" t="s">
        <v>102</v>
      </c>
      <c r="H159" s="24"/>
      <c r="I159" s="25"/>
      <c r="J159" s="37"/>
      <c r="K159" s="26"/>
      <c r="L159" s="26"/>
      <c r="M159" s="62">
        <f t="shared" si="5"/>
        <v>0</v>
      </c>
      <c r="N159" s="40"/>
      <c r="O159" s="28"/>
      <c r="P159" s="28"/>
      <c r="Q159" s="27">
        <f t="shared" si="6"/>
        <v>0</v>
      </c>
    </row>
    <row r="160" spans="1:20" s="3" customFormat="1" x14ac:dyDescent="0.25">
      <c r="A160" s="66"/>
      <c r="B160" s="11" t="s">
        <v>117</v>
      </c>
      <c r="C160" s="48" t="s">
        <v>17</v>
      </c>
      <c r="D160" s="49"/>
      <c r="E160" s="54" t="s">
        <v>20</v>
      </c>
      <c r="F160" s="22"/>
      <c r="G160" s="67" t="s">
        <v>104</v>
      </c>
      <c r="H160" s="48"/>
      <c r="I160" s="68"/>
      <c r="J160" s="52"/>
      <c r="K160" s="53"/>
      <c r="L160" s="53"/>
      <c r="M160" s="62">
        <f t="shared" si="5"/>
        <v>0</v>
      </c>
      <c r="N160" s="43"/>
      <c r="O160" s="62"/>
      <c r="P160" s="62"/>
      <c r="Q160" s="69">
        <f t="shared" si="6"/>
        <v>0</v>
      </c>
    </row>
    <row r="161" spans="1:17" s="3" customFormat="1" x14ac:dyDescent="0.25">
      <c r="A161" s="66"/>
      <c r="B161" s="11" t="s">
        <v>117</v>
      </c>
      <c r="C161" s="48" t="s">
        <v>17</v>
      </c>
      <c r="D161" s="49"/>
      <c r="E161" s="54" t="s">
        <v>20</v>
      </c>
      <c r="F161" s="51" t="s">
        <v>212</v>
      </c>
      <c r="G161" s="23" t="s">
        <v>102</v>
      </c>
      <c r="H161" s="24">
        <v>2</v>
      </c>
      <c r="I161" s="29"/>
      <c r="J161" s="37"/>
      <c r="K161" s="26"/>
      <c r="L161" s="26"/>
      <c r="M161" s="62">
        <f t="shared" si="5"/>
        <v>0</v>
      </c>
      <c r="N161" s="40">
        <f>2</f>
        <v>2</v>
      </c>
      <c r="O161" s="28"/>
      <c r="P161" s="28"/>
      <c r="Q161" s="27">
        <f t="shared" si="6"/>
        <v>0</v>
      </c>
    </row>
    <row r="162" spans="1:17" s="3" customFormat="1" x14ac:dyDescent="0.25">
      <c r="A162" s="66"/>
      <c r="B162" s="11" t="s">
        <v>132</v>
      </c>
      <c r="C162" s="48" t="s">
        <v>17</v>
      </c>
      <c r="D162" s="49"/>
      <c r="E162" s="54" t="s">
        <v>20</v>
      </c>
      <c r="F162" s="22"/>
      <c r="G162" s="23" t="s">
        <v>102</v>
      </c>
      <c r="H162" s="24"/>
      <c r="I162" s="29"/>
      <c r="J162" s="37"/>
      <c r="K162" s="26"/>
      <c r="L162" s="26"/>
      <c r="M162" s="62">
        <f t="shared" si="5"/>
        <v>0</v>
      </c>
      <c r="N162" s="40"/>
      <c r="O162" s="28"/>
      <c r="P162" s="28"/>
      <c r="Q162" s="69">
        <f t="shared" si="6"/>
        <v>0</v>
      </c>
    </row>
    <row r="163" spans="1:17" s="3" customFormat="1" x14ac:dyDescent="0.25">
      <c r="A163" s="66"/>
      <c r="B163" s="11" t="s">
        <v>166</v>
      </c>
      <c r="C163" s="48" t="s">
        <v>17</v>
      </c>
      <c r="D163" s="49"/>
      <c r="E163" s="54" t="s">
        <v>20</v>
      </c>
      <c r="F163" s="22"/>
      <c r="G163" s="23" t="s">
        <v>102</v>
      </c>
      <c r="H163" s="24">
        <v>1</v>
      </c>
      <c r="I163" s="29"/>
      <c r="J163" s="37"/>
      <c r="K163" s="26"/>
      <c r="L163" s="26"/>
      <c r="M163" s="62">
        <f t="shared" si="5"/>
        <v>0</v>
      </c>
      <c r="N163" s="40"/>
      <c r="O163" s="28"/>
      <c r="P163" s="28"/>
      <c r="Q163" s="69"/>
    </row>
    <row r="164" spans="1:17" s="4" customFormat="1" x14ac:dyDescent="0.25">
      <c r="A164" s="66"/>
      <c r="B164" s="11" t="s">
        <v>86</v>
      </c>
      <c r="C164" s="48" t="s">
        <v>17</v>
      </c>
      <c r="D164" s="49"/>
      <c r="E164" s="54" t="s">
        <v>20</v>
      </c>
      <c r="F164" s="22"/>
      <c r="G164" s="23" t="s">
        <v>102</v>
      </c>
      <c r="H164" s="24"/>
      <c r="I164" s="25"/>
      <c r="J164" s="37"/>
      <c r="K164" s="26"/>
      <c r="L164" s="26"/>
      <c r="M164" s="62">
        <f t="shared" si="5"/>
        <v>0</v>
      </c>
      <c r="N164" s="40"/>
      <c r="O164" s="28"/>
      <c r="P164" s="28"/>
      <c r="Q164" s="69">
        <f t="shared" si="6"/>
        <v>0</v>
      </c>
    </row>
    <row r="165" spans="1:17" s="4" customFormat="1" x14ac:dyDescent="0.25">
      <c r="A165" s="66"/>
      <c r="B165" s="11" t="s">
        <v>86</v>
      </c>
      <c r="C165" s="48" t="s">
        <v>17</v>
      </c>
      <c r="D165" s="49"/>
      <c r="E165" s="54" t="s">
        <v>20</v>
      </c>
      <c r="F165" s="22"/>
      <c r="G165" s="67" t="s">
        <v>104</v>
      </c>
      <c r="H165" s="48"/>
      <c r="I165" s="68"/>
      <c r="J165" s="52"/>
      <c r="K165" s="26"/>
      <c r="L165" s="26"/>
      <c r="M165" s="62">
        <f t="shared" si="5"/>
        <v>0</v>
      </c>
      <c r="N165" s="43"/>
      <c r="O165" s="62"/>
      <c r="P165" s="62"/>
      <c r="Q165" s="69">
        <f t="shared" si="6"/>
        <v>0</v>
      </c>
    </row>
    <row r="166" spans="1:17" s="4" customFormat="1" x14ac:dyDescent="0.25">
      <c r="A166" s="66"/>
      <c r="B166" s="11" t="s">
        <v>173</v>
      </c>
      <c r="C166" s="48"/>
      <c r="D166" s="49"/>
      <c r="E166" s="54"/>
      <c r="F166" s="22"/>
      <c r="G166" s="96" t="s">
        <v>102</v>
      </c>
      <c r="H166" s="48">
        <v>3</v>
      </c>
      <c r="I166" s="68"/>
      <c r="J166" s="52"/>
      <c r="K166" s="26"/>
      <c r="L166" s="26"/>
      <c r="M166" s="62"/>
      <c r="N166" s="43"/>
      <c r="O166" s="62"/>
      <c r="P166" s="62"/>
      <c r="Q166" s="69"/>
    </row>
    <row r="167" spans="1:17" s="3" customFormat="1" x14ac:dyDescent="0.25">
      <c r="A167" s="66"/>
      <c r="B167" s="8" t="s">
        <v>89</v>
      </c>
      <c r="C167" s="48" t="s">
        <v>17</v>
      </c>
      <c r="D167" s="49"/>
      <c r="E167" s="54" t="s">
        <v>20</v>
      </c>
      <c r="F167" s="51" t="s">
        <v>213</v>
      </c>
      <c r="G167" s="23" t="s">
        <v>102</v>
      </c>
      <c r="H167" s="24">
        <v>1</v>
      </c>
      <c r="I167" s="25"/>
      <c r="J167" s="37"/>
      <c r="K167" s="26"/>
      <c r="L167" s="26"/>
      <c r="M167" s="62">
        <f t="shared" si="5"/>
        <v>0</v>
      </c>
      <c r="N167" s="40">
        <f>3</f>
        <v>3</v>
      </c>
      <c r="O167" s="28"/>
      <c r="P167" s="28"/>
      <c r="Q167" s="27">
        <f t="shared" si="6"/>
        <v>0</v>
      </c>
    </row>
    <row r="168" spans="1:17" s="3" customFormat="1" x14ac:dyDescent="0.25">
      <c r="A168" s="66"/>
      <c r="B168" s="8" t="s">
        <v>89</v>
      </c>
      <c r="C168" s="48" t="s">
        <v>17</v>
      </c>
      <c r="D168" s="49"/>
      <c r="E168" s="54" t="s">
        <v>20</v>
      </c>
      <c r="F168" s="22"/>
      <c r="G168" s="67" t="s">
        <v>104</v>
      </c>
      <c r="H168" s="48">
        <v>1</v>
      </c>
      <c r="I168" s="68"/>
      <c r="J168" s="52"/>
      <c r="K168" s="26"/>
      <c r="L168" s="26"/>
      <c r="M168" s="62">
        <f t="shared" si="5"/>
        <v>0</v>
      </c>
      <c r="N168" s="40"/>
      <c r="O168" s="62"/>
      <c r="P168" s="62"/>
      <c r="Q168" s="69">
        <f t="shared" si="6"/>
        <v>0</v>
      </c>
    </row>
    <row r="169" spans="1:17" s="3" customFormat="1" x14ac:dyDescent="0.25">
      <c r="A169" s="66"/>
      <c r="B169" s="8" t="s">
        <v>90</v>
      </c>
      <c r="C169" s="48" t="s">
        <v>17</v>
      </c>
      <c r="D169" s="49"/>
      <c r="E169" s="54" t="s">
        <v>91</v>
      </c>
      <c r="F169" s="22"/>
      <c r="G169" s="23" t="s">
        <v>102</v>
      </c>
      <c r="H169" s="24"/>
      <c r="I169" s="25"/>
      <c r="J169" s="37"/>
      <c r="K169" s="26"/>
      <c r="L169" s="26"/>
      <c r="M169" s="62">
        <f t="shared" si="5"/>
        <v>0</v>
      </c>
      <c r="N169" s="95"/>
      <c r="O169" s="26"/>
      <c r="P169" s="26"/>
      <c r="Q169" s="27">
        <f t="shared" si="6"/>
        <v>0</v>
      </c>
    </row>
    <row r="170" spans="1:17" s="3" customFormat="1" x14ac:dyDescent="0.25">
      <c r="A170" s="66"/>
      <c r="B170" s="8" t="s">
        <v>90</v>
      </c>
      <c r="C170" s="48" t="s">
        <v>17</v>
      </c>
      <c r="D170" s="49"/>
      <c r="E170" s="54" t="s">
        <v>91</v>
      </c>
      <c r="F170" s="22"/>
      <c r="G170" s="67" t="s">
        <v>104</v>
      </c>
      <c r="H170" s="48"/>
      <c r="I170" s="68"/>
      <c r="J170" s="52"/>
      <c r="K170" s="26"/>
      <c r="L170" s="26"/>
      <c r="M170" s="62">
        <f t="shared" si="5"/>
        <v>0</v>
      </c>
      <c r="N170" s="40"/>
      <c r="O170" s="62"/>
      <c r="P170" s="62"/>
      <c r="Q170" s="69">
        <f t="shared" si="6"/>
        <v>0</v>
      </c>
    </row>
    <row r="171" spans="1:17" s="3" customFormat="1" x14ac:dyDescent="0.25">
      <c r="A171" s="66"/>
      <c r="B171" s="8" t="s">
        <v>92</v>
      </c>
      <c r="C171" s="48" t="s">
        <v>17</v>
      </c>
      <c r="D171" s="49"/>
      <c r="E171" s="54" t="s">
        <v>35</v>
      </c>
      <c r="F171" s="22"/>
      <c r="G171" s="23" t="s">
        <v>102</v>
      </c>
      <c r="H171" s="24">
        <v>2</v>
      </c>
      <c r="I171" s="25"/>
      <c r="J171" s="37"/>
      <c r="K171" s="26"/>
      <c r="L171" s="26"/>
      <c r="M171" s="62">
        <f t="shared" si="5"/>
        <v>0</v>
      </c>
      <c r="N171" s="40">
        <f>10+3</f>
        <v>13</v>
      </c>
      <c r="O171" s="28"/>
      <c r="P171" s="28"/>
      <c r="Q171" s="27">
        <f t="shared" si="6"/>
        <v>0</v>
      </c>
    </row>
    <row r="172" spans="1:17" s="3" customFormat="1" x14ac:dyDescent="0.25">
      <c r="A172" s="66"/>
      <c r="B172" s="8" t="s">
        <v>92</v>
      </c>
      <c r="C172" s="48" t="s">
        <v>17</v>
      </c>
      <c r="D172" s="49"/>
      <c r="E172" s="54" t="s">
        <v>35</v>
      </c>
      <c r="F172" s="22"/>
      <c r="G172" s="72" t="s">
        <v>107</v>
      </c>
      <c r="H172" s="48"/>
      <c r="I172" s="68"/>
      <c r="J172" s="37"/>
      <c r="K172" s="26"/>
      <c r="L172" s="26"/>
      <c r="M172" s="62">
        <f t="shared" si="5"/>
        <v>0</v>
      </c>
      <c r="N172" s="40">
        <f>1</f>
        <v>1</v>
      </c>
      <c r="O172" s="26"/>
      <c r="P172" s="26"/>
      <c r="Q172" s="69">
        <f t="shared" si="6"/>
        <v>0</v>
      </c>
    </row>
    <row r="173" spans="1:17" s="3" customFormat="1" x14ac:dyDescent="0.25">
      <c r="A173" s="66"/>
      <c r="B173" s="8" t="s">
        <v>156</v>
      </c>
      <c r="C173" s="48" t="s">
        <v>17</v>
      </c>
      <c r="D173" s="49"/>
      <c r="E173" s="54" t="s">
        <v>91</v>
      </c>
      <c r="F173" s="22"/>
      <c r="G173" s="72" t="s">
        <v>102</v>
      </c>
      <c r="H173" s="48"/>
      <c r="I173" s="68"/>
      <c r="J173" s="37"/>
      <c r="K173" s="26"/>
      <c r="L173" s="26"/>
      <c r="M173" s="62">
        <f t="shared" si="5"/>
        <v>0</v>
      </c>
      <c r="N173" s="40"/>
      <c r="O173" s="26"/>
      <c r="P173" s="26"/>
      <c r="Q173" s="69"/>
    </row>
    <row r="174" spans="1:17" s="4" customFormat="1" x14ac:dyDescent="0.25">
      <c r="A174" s="66"/>
      <c r="B174" s="8" t="s">
        <v>93</v>
      </c>
      <c r="C174" s="48" t="s">
        <v>17</v>
      </c>
      <c r="D174" s="49"/>
      <c r="E174" s="50" t="s">
        <v>32</v>
      </c>
      <c r="F174" s="22"/>
      <c r="G174" s="23" t="s">
        <v>102</v>
      </c>
      <c r="H174" s="24"/>
      <c r="I174" s="25"/>
      <c r="J174" s="37"/>
      <c r="K174" s="26"/>
      <c r="L174" s="26"/>
      <c r="M174" s="62">
        <f t="shared" si="5"/>
        <v>0</v>
      </c>
      <c r="N174" s="40"/>
      <c r="O174" s="28"/>
      <c r="P174" s="28"/>
      <c r="Q174" s="27">
        <f t="shared" si="6"/>
        <v>0</v>
      </c>
    </row>
    <row r="175" spans="1:17" s="4" customFormat="1" x14ac:dyDescent="0.25">
      <c r="A175" s="66"/>
      <c r="B175" s="8" t="s">
        <v>93</v>
      </c>
      <c r="C175" s="48" t="s">
        <v>17</v>
      </c>
      <c r="D175" s="49"/>
      <c r="E175" s="50" t="s">
        <v>32</v>
      </c>
      <c r="F175" s="22"/>
      <c r="G175" s="72" t="s">
        <v>107</v>
      </c>
      <c r="H175" s="48"/>
      <c r="I175" s="68"/>
      <c r="J175" s="52"/>
      <c r="K175" s="26"/>
      <c r="L175" s="26"/>
      <c r="M175" s="62">
        <f t="shared" si="5"/>
        <v>0</v>
      </c>
      <c r="N175" s="43"/>
      <c r="O175" s="26"/>
      <c r="P175" s="26"/>
      <c r="Q175" s="69">
        <f t="shared" si="6"/>
        <v>0</v>
      </c>
    </row>
    <row r="176" spans="1:17" s="4" customFormat="1" ht="30" x14ac:dyDescent="0.25">
      <c r="A176" s="66"/>
      <c r="B176" s="8" t="s">
        <v>119</v>
      </c>
      <c r="C176" s="48" t="s">
        <v>135</v>
      </c>
      <c r="D176" s="49" t="s">
        <v>140</v>
      </c>
      <c r="E176" s="54" t="s">
        <v>91</v>
      </c>
      <c r="F176" s="51" t="s">
        <v>214</v>
      </c>
      <c r="G176" s="15" t="s">
        <v>102</v>
      </c>
      <c r="H176" s="24">
        <v>3</v>
      </c>
      <c r="I176" s="25">
        <v>1</v>
      </c>
      <c r="J176" s="38">
        <f>1</f>
        <v>1</v>
      </c>
      <c r="K176" s="26"/>
      <c r="L176" s="26"/>
      <c r="M176" s="62">
        <f t="shared" si="5"/>
        <v>0</v>
      </c>
      <c r="N176" s="40">
        <f>7+1</f>
        <v>8</v>
      </c>
      <c r="O176" s="26"/>
      <c r="P176" s="26"/>
      <c r="Q176" s="27">
        <f t="shared" si="6"/>
        <v>0</v>
      </c>
    </row>
    <row r="177" spans="1:20" s="4" customFormat="1" x14ac:dyDescent="0.25">
      <c r="A177" s="66"/>
      <c r="B177" s="8" t="s">
        <v>156</v>
      </c>
      <c r="C177" s="48"/>
      <c r="D177" s="49"/>
      <c r="E177" s="54"/>
      <c r="F177" s="22"/>
      <c r="G177" s="15" t="s">
        <v>104</v>
      </c>
      <c r="H177" s="24"/>
      <c r="I177" s="25"/>
      <c r="J177" s="38"/>
      <c r="K177" s="26"/>
      <c r="L177" s="26"/>
      <c r="M177" s="62">
        <f t="shared" si="5"/>
        <v>0</v>
      </c>
      <c r="N177" s="40">
        <f>5</f>
        <v>5</v>
      </c>
      <c r="O177" s="26"/>
      <c r="P177" s="26"/>
      <c r="Q177" s="69">
        <f t="shared" si="6"/>
        <v>0</v>
      </c>
    </row>
    <row r="178" spans="1:20" s="4" customFormat="1" x14ac:dyDescent="0.25">
      <c r="A178" s="66"/>
      <c r="B178" s="8" t="s">
        <v>173</v>
      </c>
      <c r="C178" s="48"/>
      <c r="D178" s="49"/>
      <c r="E178" s="54" t="s">
        <v>18</v>
      </c>
      <c r="F178" s="22"/>
      <c r="G178" s="15" t="s">
        <v>106</v>
      </c>
      <c r="H178" s="24">
        <v>2</v>
      </c>
      <c r="I178" s="25"/>
      <c r="J178" s="38"/>
      <c r="K178" s="26"/>
      <c r="L178" s="26"/>
      <c r="M178" s="62">
        <f t="shared" si="5"/>
        <v>0</v>
      </c>
      <c r="N178" s="40"/>
      <c r="O178" s="26"/>
      <c r="P178" s="26"/>
      <c r="Q178" s="69"/>
    </row>
    <row r="179" spans="1:20" s="4" customFormat="1" x14ac:dyDescent="0.25">
      <c r="A179" s="66"/>
      <c r="B179" s="8" t="s">
        <v>156</v>
      </c>
      <c r="C179" s="48"/>
      <c r="D179" s="49"/>
      <c r="E179" s="54"/>
      <c r="F179" s="22"/>
      <c r="G179" s="15" t="s">
        <v>106</v>
      </c>
      <c r="H179" s="24"/>
      <c r="I179" s="25"/>
      <c r="J179" s="38"/>
      <c r="K179" s="26"/>
      <c r="L179" s="26"/>
      <c r="M179" s="62">
        <f t="shared" si="5"/>
        <v>0</v>
      </c>
      <c r="N179" s="40"/>
      <c r="O179" s="26"/>
      <c r="P179" s="26"/>
      <c r="Q179" s="27"/>
    </row>
    <row r="180" spans="1:20" s="4" customFormat="1" ht="30" x14ac:dyDescent="0.25">
      <c r="A180" s="66"/>
      <c r="B180" s="75" t="s">
        <v>119</v>
      </c>
      <c r="C180" s="48" t="s">
        <v>152</v>
      </c>
      <c r="D180" s="49" t="s">
        <v>140</v>
      </c>
      <c r="E180" s="50" t="s">
        <v>20</v>
      </c>
      <c r="F180" s="22"/>
      <c r="G180" s="72" t="s">
        <v>104</v>
      </c>
      <c r="H180" s="48">
        <v>5</v>
      </c>
      <c r="I180" s="71"/>
      <c r="J180" s="55"/>
      <c r="K180" s="26"/>
      <c r="L180" s="26"/>
      <c r="M180" s="62">
        <f t="shared" si="5"/>
        <v>0</v>
      </c>
      <c r="N180" s="40">
        <f>6</f>
        <v>6</v>
      </c>
      <c r="O180" s="62"/>
      <c r="P180" s="62"/>
      <c r="Q180" s="69">
        <f t="shared" ref="Q180" si="7">O180-P180</f>
        <v>0</v>
      </c>
    </row>
    <row r="181" spans="1:20" s="6" customFormat="1" ht="45" x14ac:dyDescent="0.25">
      <c r="A181" s="48"/>
      <c r="B181" s="8" t="s">
        <v>94</v>
      </c>
      <c r="C181" s="48" t="s">
        <v>135</v>
      </c>
      <c r="D181" s="49" t="s">
        <v>150</v>
      </c>
      <c r="E181" s="54" t="s">
        <v>20</v>
      </c>
      <c r="F181" s="22"/>
      <c r="G181" s="7" t="s">
        <v>102</v>
      </c>
      <c r="H181" s="24">
        <v>1</v>
      </c>
      <c r="I181" s="25"/>
      <c r="J181" s="38"/>
      <c r="K181" s="30"/>
      <c r="L181" s="30"/>
      <c r="M181" s="62">
        <f t="shared" si="5"/>
        <v>0</v>
      </c>
      <c r="N181" s="40">
        <f>4</f>
        <v>4</v>
      </c>
      <c r="O181" s="31"/>
      <c r="P181" s="31"/>
      <c r="Q181" s="27">
        <f t="shared" si="6"/>
        <v>0</v>
      </c>
    </row>
    <row r="182" spans="1:20" s="6" customFormat="1" ht="60" x14ac:dyDescent="0.25">
      <c r="A182" s="48"/>
      <c r="B182" s="8" t="s">
        <v>94</v>
      </c>
      <c r="C182" s="56" t="s">
        <v>110</v>
      </c>
      <c r="D182" s="49" t="s">
        <v>111</v>
      </c>
      <c r="E182" s="54" t="s">
        <v>20</v>
      </c>
      <c r="F182" s="22"/>
      <c r="G182" s="73" t="s">
        <v>104</v>
      </c>
      <c r="H182" s="48">
        <v>1</v>
      </c>
      <c r="I182" s="71"/>
      <c r="J182" s="55"/>
      <c r="K182" s="30"/>
      <c r="L182" s="30"/>
      <c r="M182" s="62">
        <f t="shared" si="5"/>
        <v>0</v>
      </c>
      <c r="N182" s="40"/>
      <c r="O182" s="76"/>
      <c r="P182" s="76"/>
      <c r="Q182" s="69">
        <f t="shared" si="6"/>
        <v>0</v>
      </c>
    </row>
    <row r="183" spans="1:20" s="3" customFormat="1" x14ac:dyDescent="0.25">
      <c r="A183" s="66"/>
      <c r="B183" s="11" t="s">
        <v>95</v>
      </c>
      <c r="C183" s="48" t="s">
        <v>17</v>
      </c>
      <c r="D183" s="49"/>
      <c r="E183" s="54" t="s">
        <v>20</v>
      </c>
      <c r="F183" s="51" t="s">
        <v>215</v>
      </c>
      <c r="G183" s="23" t="s">
        <v>102</v>
      </c>
      <c r="H183" s="24"/>
      <c r="I183" s="25"/>
      <c r="J183" s="37"/>
      <c r="K183" s="26"/>
      <c r="L183" s="26"/>
      <c r="M183" s="62">
        <f t="shared" si="5"/>
        <v>0</v>
      </c>
      <c r="N183" s="40">
        <f>5+1</f>
        <v>6</v>
      </c>
      <c r="O183" s="28"/>
      <c r="P183" s="28"/>
      <c r="Q183" s="27">
        <f t="shared" si="6"/>
        <v>0</v>
      </c>
    </row>
    <row r="184" spans="1:20" s="3" customFormat="1" x14ac:dyDescent="0.25">
      <c r="A184" s="66"/>
      <c r="B184" s="11" t="s">
        <v>121</v>
      </c>
      <c r="C184" s="48" t="s">
        <v>17</v>
      </c>
      <c r="D184" s="49"/>
      <c r="E184" s="54" t="s">
        <v>20</v>
      </c>
      <c r="F184" s="22"/>
      <c r="G184" s="23" t="s">
        <v>102</v>
      </c>
      <c r="H184" s="24">
        <v>2</v>
      </c>
      <c r="I184" s="25"/>
      <c r="J184" s="37"/>
      <c r="K184" s="26"/>
      <c r="L184" s="26"/>
      <c r="M184" s="62">
        <f t="shared" si="5"/>
        <v>0</v>
      </c>
      <c r="N184" s="40">
        <f>1</f>
        <v>1</v>
      </c>
      <c r="O184" s="28"/>
      <c r="P184" s="28"/>
      <c r="Q184" s="69">
        <f t="shared" si="6"/>
        <v>0</v>
      </c>
    </row>
    <row r="185" spans="1:20" s="3" customFormat="1" x14ac:dyDescent="0.25">
      <c r="A185" s="66"/>
      <c r="B185" s="11" t="s">
        <v>121</v>
      </c>
      <c r="C185" s="48" t="s">
        <v>17</v>
      </c>
      <c r="D185" s="49"/>
      <c r="E185" s="50" t="s">
        <v>21</v>
      </c>
      <c r="F185" s="22"/>
      <c r="G185" s="67" t="s">
        <v>108</v>
      </c>
      <c r="H185" s="48"/>
      <c r="I185" s="71"/>
      <c r="J185" s="52"/>
      <c r="K185" s="53"/>
      <c r="L185" s="53"/>
      <c r="M185" s="62">
        <f t="shared" si="5"/>
        <v>0</v>
      </c>
      <c r="N185" s="43">
        <v>1</v>
      </c>
      <c r="O185" s="62"/>
      <c r="P185" s="62"/>
      <c r="Q185" s="27">
        <f t="shared" si="6"/>
        <v>0</v>
      </c>
      <c r="T185" s="106"/>
    </row>
    <row r="186" spans="1:20" s="3" customFormat="1" x14ac:dyDescent="0.25">
      <c r="A186" s="66"/>
      <c r="B186" s="7" t="s">
        <v>96</v>
      </c>
      <c r="C186" s="48" t="s">
        <v>17</v>
      </c>
      <c r="D186" s="49"/>
      <c r="E186" s="54" t="s">
        <v>20</v>
      </c>
      <c r="F186" s="51" t="s">
        <v>216</v>
      </c>
      <c r="G186" s="23" t="s">
        <v>102</v>
      </c>
      <c r="H186" s="24">
        <v>2</v>
      </c>
      <c r="I186" s="25"/>
      <c r="J186" s="37"/>
      <c r="K186" s="26"/>
      <c r="L186" s="26"/>
      <c r="M186" s="62">
        <f t="shared" si="5"/>
        <v>0</v>
      </c>
      <c r="N186" s="40">
        <f>2</f>
        <v>2</v>
      </c>
      <c r="O186" s="28"/>
      <c r="P186" s="28"/>
      <c r="Q186" s="69">
        <f t="shared" si="6"/>
        <v>0</v>
      </c>
    </row>
    <row r="187" spans="1:20" s="3" customFormat="1" x14ac:dyDescent="0.25">
      <c r="A187" s="66"/>
      <c r="B187" s="7" t="s">
        <v>96</v>
      </c>
      <c r="C187" s="48" t="s">
        <v>17</v>
      </c>
      <c r="D187" s="49"/>
      <c r="E187" s="54" t="s">
        <v>20</v>
      </c>
      <c r="F187" s="22"/>
      <c r="G187" s="67" t="s">
        <v>104</v>
      </c>
      <c r="H187" s="48"/>
      <c r="I187" s="68"/>
      <c r="J187" s="52"/>
      <c r="K187" s="26"/>
      <c r="L187" s="26"/>
      <c r="M187" s="62">
        <f t="shared" si="5"/>
        <v>0</v>
      </c>
      <c r="N187" s="40"/>
      <c r="O187" s="62"/>
      <c r="P187" s="62"/>
      <c r="Q187" s="69">
        <f t="shared" si="6"/>
        <v>0</v>
      </c>
    </row>
    <row r="188" spans="1:20" s="3" customFormat="1" x14ac:dyDescent="0.25">
      <c r="A188" s="66"/>
      <c r="B188" s="7" t="s">
        <v>97</v>
      </c>
      <c r="C188" s="48" t="s">
        <v>17</v>
      </c>
      <c r="D188" s="49"/>
      <c r="E188" s="50" t="s">
        <v>20</v>
      </c>
      <c r="F188" s="51" t="s">
        <v>217</v>
      </c>
      <c r="G188" s="23" t="s">
        <v>102</v>
      </c>
      <c r="H188" s="24">
        <v>2</v>
      </c>
      <c r="I188" s="25"/>
      <c r="J188" s="37"/>
      <c r="K188" s="26"/>
      <c r="L188" s="26"/>
      <c r="M188" s="62">
        <f t="shared" si="5"/>
        <v>0</v>
      </c>
      <c r="N188" s="40"/>
      <c r="O188" s="26"/>
      <c r="P188" s="26"/>
      <c r="Q188" s="69">
        <f t="shared" si="6"/>
        <v>0</v>
      </c>
    </row>
    <row r="189" spans="1:20" s="3" customFormat="1" x14ac:dyDescent="0.25">
      <c r="A189" s="66"/>
      <c r="B189" s="7" t="s">
        <v>97</v>
      </c>
      <c r="C189" s="48" t="s">
        <v>17</v>
      </c>
      <c r="D189" s="49"/>
      <c r="E189" s="50" t="s">
        <v>20</v>
      </c>
      <c r="F189" s="22"/>
      <c r="G189" s="67" t="s">
        <v>104</v>
      </c>
      <c r="H189" s="48"/>
      <c r="I189" s="68"/>
      <c r="J189" s="52"/>
      <c r="K189" s="26"/>
      <c r="L189" s="26"/>
      <c r="M189" s="62">
        <f t="shared" si="5"/>
        <v>0</v>
      </c>
      <c r="N189" s="40">
        <f>1</f>
        <v>1</v>
      </c>
      <c r="O189" s="62"/>
      <c r="P189" s="62"/>
      <c r="Q189" s="69">
        <f t="shared" si="6"/>
        <v>0</v>
      </c>
    </row>
    <row r="190" spans="1:20" s="4" customFormat="1" x14ac:dyDescent="0.25">
      <c r="A190" s="66"/>
      <c r="B190" s="7" t="s">
        <v>98</v>
      </c>
      <c r="C190" s="48" t="s">
        <v>17</v>
      </c>
      <c r="D190" s="49"/>
      <c r="E190" s="50" t="s">
        <v>20</v>
      </c>
      <c r="F190" s="51" t="s">
        <v>218</v>
      </c>
      <c r="G190" s="23" t="s">
        <v>102</v>
      </c>
      <c r="H190" s="24">
        <v>2</v>
      </c>
      <c r="I190" s="25"/>
      <c r="J190" s="37"/>
      <c r="K190" s="26"/>
      <c r="L190" s="26"/>
      <c r="M190" s="62">
        <f t="shared" si="5"/>
        <v>0</v>
      </c>
      <c r="N190" s="40">
        <f>2</f>
        <v>2</v>
      </c>
      <c r="O190" s="28"/>
      <c r="P190" s="28"/>
      <c r="Q190" s="69">
        <f t="shared" si="6"/>
        <v>0</v>
      </c>
    </row>
    <row r="191" spans="1:20" s="4" customFormat="1" x14ac:dyDescent="0.25">
      <c r="A191" s="66"/>
      <c r="B191" s="7" t="s">
        <v>98</v>
      </c>
      <c r="C191" s="48" t="s">
        <v>17</v>
      </c>
      <c r="D191" s="49"/>
      <c r="E191" s="50" t="s">
        <v>20</v>
      </c>
      <c r="F191" s="22"/>
      <c r="G191" s="67" t="s">
        <v>104</v>
      </c>
      <c r="H191" s="48">
        <v>2</v>
      </c>
      <c r="I191" s="68"/>
      <c r="J191" s="52"/>
      <c r="K191" s="26"/>
      <c r="L191" s="26"/>
      <c r="M191" s="62">
        <f t="shared" si="5"/>
        <v>0</v>
      </c>
      <c r="N191" s="43">
        <f>3</f>
        <v>3</v>
      </c>
      <c r="O191" s="62"/>
      <c r="P191" s="62"/>
      <c r="Q191" s="69">
        <f t="shared" si="6"/>
        <v>0</v>
      </c>
    </row>
    <row r="192" spans="1:20" s="3" customFormat="1" x14ac:dyDescent="0.25">
      <c r="A192" s="66"/>
      <c r="B192" s="8" t="s">
        <v>26</v>
      </c>
      <c r="C192" s="48" t="s">
        <v>17</v>
      </c>
      <c r="D192" s="49"/>
      <c r="E192" s="50" t="s">
        <v>32</v>
      </c>
      <c r="F192" s="22"/>
      <c r="G192" s="23" t="s">
        <v>107</v>
      </c>
      <c r="H192" s="24"/>
      <c r="I192" s="25"/>
      <c r="J192" s="37"/>
      <c r="K192" s="26"/>
      <c r="L192" s="26"/>
      <c r="M192" s="62">
        <f t="shared" si="5"/>
        <v>0</v>
      </c>
      <c r="N192" s="40"/>
      <c r="O192" s="28"/>
      <c r="P192" s="28"/>
      <c r="Q192" s="69">
        <f t="shared" si="6"/>
        <v>0</v>
      </c>
    </row>
    <row r="193" spans="1:20" s="3" customFormat="1" x14ac:dyDescent="0.25">
      <c r="A193" s="66"/>
      <c r="B193" s="8" t="s">
        <v>99</v>
      </c>
      <c r="C193" s="48" t="s">
        <v>17</v>
      </c>
      <c r="D193" s="49"/>
      <c r="E193" s="54" t="s">
        <v>35</v>
      </c>
      <c r="F193" s="51" t="s">
        <v>219</v>
      </c>
      <c r="G193" s="23" t="s">
        <v>102</v>
      </c>
      <c r="H193" s="24">
        <v>2</v>
      </c>
      <c r="I193" s="25">
        <v>1</v>
      </c>
      <c r="J193" s="37">
        <f>1</f>
        <v>1</v>
      </c>
      <c r="K193" s="26"/>
      <c r="L193" s="26"/>
      <c r="M193" s="62">
        <f t="shared" si="5"/>
        <v>0</v>
      </c>
      <c r="N193" s="40">
        <f>5+1</f>
        <v>6</v>
      </c>
      <c r="O193" s="28"/>
      <c r="P193" s="28"/>
      <c r="Q193" s="69"/>
    </row>
    <row r="194" spans="1:20" s="3" customFormat="1" x14ac:dyDescent="0.25">
      <c r="A194" s="66"/>
      <c r="B194" s="11" t="s">
        <v>100</v>
      </c>
      <c r="C194" s="48" t="s">
        <v>17</v>
      </c>
      <c r="D194" s="57"/>
      <c r="E194" s="54" t="s">
        <v>20</v>
      </c>
      <c r="F194" s="51" t="s">
        <v>220</v>
      </c>
      <c r="G194" s="23" t="s">
        <v>102</v>
      </c>
      <c r="H194" s="24">
        <v>2</v>
      </c>
      <c r="I194" s="25"/>
      <c r="J194" s="37"/>
      <c r="K194" s="26"/>
      <c r="L194" s="26"/>
      <c r="M194" s="62">
        <f t="shared" si="5"/>
        <v>0</v>
      </c>
      <c r="N194" s="40">
        <f>1+1</f>
        <v>2</v>
      </c>
      <c r="O194" s="28"/>
      <c r="P194" s="28"/>
      <c r="Q194" s="69">
        <f t="shared" si="6"/>
        <v>0</v>
      </c>
      <c r="T194" s="45"/>
    </row>
    <row r="195" spans="1:20" x14ac:dyDescent="0.25">
      <c r="A195" s="100"/>
      <c r="B195" s="15"/>
      <c r="C195" s="102"/>
      <c r="D195" s="72"/>
      <c r="E195" s="72"/>
      <c r="F195" s="22"/>
      <c r="G195" s="72" t="s">
        <v>112</v>
      </c>
      <c r="H195" s="77">
        <f>SUM(H10:H194)</f>
        <v>181</v>
      </c>
      <c r="I195" s="103">
        <f>SUM(I10:I194)</f>
        <v>11</v>
      </c>
      <c r="J195" s="58">
        <f>SUM(J10:J194)</f>
        <v>12</v>
      </c>
      <c r="K195" s="59">
        <f>SUM(K10:K194)</f>
        <v>0</v>
      </c>
      <c r="L195" s="59">
        <f>SUM(L10:L194)</f>
        <v>0</v>
      </c>
      <c r="M195" s="60">
        <f>K195-L195</f>
        <v>0</v>
      </c>
      <c r="N195" s="58">
        <f>SUM(N10:N194)</f>
        <v>280</v>
      </c>
      <c r="O195" s="78">
        <f>SUM(O10:O194)</f>
        <v>1618.54</v>
      </c>
      <c r="P195" s="78">
        <f>SUM(P10:P194)</f>
        <v>1618.54</v>
      </c>
      <c r="Q195" s="27">
        <f t="shared" si="6"/>
        <v>0</v>
      </c>
      <c r="T195" s="2"/>
    </row>
    <row r="196" spans="1:20" x14ac:dyDescent="0.25">
      <c r="K196" s="35" t="s">
        <v>136</v>
      </c>
      <c r="T196" s="2"/>
    </row>
    <row r="197" spans="1:20" ht="45" x14ac:dyDescent="0.25">
      <c r="B197" s="86" t="s">
        <v>169</v>
      </c>
      <c r="F197" s="41" t="s">
        <v>142</v>
      </c>
      <c r="M197" s="46"/>
      <c r="N197" s="81"/>
      <c r="O197" s="82"/>
      <c r="P197" s="83"/>
      <c r="Q197" s="44"/>
      <c r="T197" s="2"/>
    </row>
    <row r="198" spans="1:20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87"/>
      <c r="M198" s="61"/>
      <c r="N198" s="2"/>
      <c r="O198" s="2"/>
      <c r="P198" s="2"/>
      <c r="Q198" s="2"/>
    </row>
    <row r="199" spans="1:20" x14ac:dyDescent="0.25">
      <c r="M199" s="61"/>
      <c r="T199" s="107"/>
    </row>
    <row r="200" spans="1:20" x14ac:dyDescent="0.25">
      <c r="M200" s="61"/>
    </row>
    <row r="201" spans="1:20" x14ac:dyDescent="0.25">
      <c r="M201" s="61"/>
    </row>
    <row r="202" spans="1:20" x14ac:dyDescent="0.25">
      <c r="M202" s="61"/>
    </row>
  </sheetData>
  <autoFilter ref="A9:T197"/>
  <mergeCells count="7">
    <mergeCell ref="O1:Q1"/>
    <mergeCell ref="A3:Q3"/>
    <mergeCell ref="A4:Q4"/>
    <mergeCell ref="A5:Q5"/>
    <mergeCell ref="B7:G7"/>
    <mergeCell ref="H7:M7"/>
    <mergeCell ref="N7: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workbookViewId="0">
      <selection sqref="A1:XFD1048576"/>
    </sheetView>
  </sheetViews>
  <sheetFormatPr defaultRowHeight="15" x14ac:dyDescent="0.25"/>
  <cols>
    <col min="1" max="1" width="3.85546875" style="2" customWidth="1"/>
    <col min="2" max="2" width="41" style="32" customWidth="1"/>
    <col min="3" max="3" width="6.5703125" style="5" customWidth="1"/>
    <col min="4" max="4" width="17.42578125" style="5" customWidth="1"/>
    <col min="5" max="5" width="19" style="5" customWidth="1"/>
    <col min="6" max="6" width="15.140625" style="33" customWidth="1"/>
    <col min="7" max="7" width="20.140625" style="33" customWidth="1"/>
    <col min="8" max="9" width="15.7109375" style="34" customWidth="1"/>
    <col min="10" max="10" width="15.7109375" style="39" customWidth="1"/>
    <col min="11" max="13" width="15.7109375" style="35" customWidth="1"/>
    <col min="14" max="14" width="15.7109375" style="39" customWidth="1"/>
    <col min="15" max="17" width="15.7109375" style="36" customWidth="1"/>
    <col min="18" max="18" width="11" style="2" customWidth="1"/>
    <col min="19" max="19" width="9.140625" style="2"/>
    <col min="20" max="20" width="10.42578125" style="105" bestFit="1" customWidth="1"/>
    <col min="21" max="16384" width="9.140625" style="2"/>
  </cols>
  <sheetData>
    <row r="1" spans="1:20" s="42" customFormat="1" x14ac:dyDescent="0.25">
      <c r="A1" s="9"/>
      <c r="B1" s="9"/>
      <c r="C1" s="63"/>
      <c r="D1" s="63"/>
      <c r="E1" s="63"/>
      <c r="F1" s="12"/>
      <c r="G1" s="12"/>
      <c r="H1" s="13"/>
      <c r="I1" s="13"/>
      <c r="J1" s="92"/>
      <c r="K1" s="14"/>
      <c r="L1" s="14"/>
      <c r="M1" s="14"/>
      <c r="N1" s="92"/>
      <c r="O1" s="135" t="s">
        <v>15</v>
      </c>
      <c r="P1" s="135"/>
      <c r="Q1" s="135"/>
      <c r="T1" s="104"/>
    </row>
    <row r="2" spans="1:20" s="42" customFormat="1" x14ac:dyDescent="0.25">
      <c r="A2" s="108"/>
      <c r="B2" s="108"/>
      <c r="C2" s="109"/>
      <c r="D2" s="109"/>
      <c r="E2" s="109"/>
      <c r="F2" s="15"/>
      <c r="G2" s="15"/>
      <c r="H2" s="110"/>
      <c r="I2" s="112"/>
      <c r="J2" s="93"/>
      <c r="K2" s="16"/>
      <c r="L2" s="16"/>
      <c r="M2" s="16"/>
      <c r="N2" s="93"/>
      <c r="O2" s="17"/>
      <c r="P2" s="17"/>
      <c r="Q2" s="17"/>
      <c r="T2" s="104"/>
    </row>
    <row r="3" spans="1:20" s="42" customFormat="1" x14ac:dyDescent="0.25">
      <c r="A3" s="136" t="s">
        <v>171</v>
      </c>
      <c r="B3" s="137"/>
      <c r="C3" s="138"/>
      <c r="D3" s="144"/>
      <c r="E3" s="144"/>
      <c r="F3" s="145"/>
      <c r="G3" s="145"/>
      <c r="H3" s="146"/>
      <c r="I3" s="139"/>
      <c r="J3" s="137"/>
      <c r="K3" s="145"/>
      <c r="L3" s="145"/>
      <c r="M3" s="137"/>
      <c r="N3" s="137"/>
      <c r="O3" s="150"/>
      <c r="P3" s="145"/>
      <c r="Q3" s="145"/>
      <c r="T3" s="104"/>
    </row>
    <row r="4" spans="1:20" s="42" customFormat="1" x14ac:dyDescent="0.25">
      <c r="A4" s="140">
        <v>43857</v>
      </c>
      <c r="B4" s="141"/>
      <c r="C4" s="142"/>
      <c r="D4" s="147"/>
      <c r="E4" s="147"/>
      <c r="F4" s="148"/>
      <c r="G4" s="148"/>
      <c r="H4" s="149"/>
      <c r="I4" s="143"/>
      <c r="J4" s="141"/>
      <c r="K4" s="148"/>
      <c r="L4" s="148"/>
      <c r="M4" s="141"/>
      <c r="N4" s="141"/>
      <c r="O4" s="151"/>
      <c r="P4" s="148"/>
      <c r="Q4" s="148"/>
      <c r="T4" s="104"/>
    </row>
    <row r="5" spans="1:20" s="42" customFormat="1" x14ac:dyDescent="0.25">
      <c r="A5" s="137" t="s">
        <v>14</v>
      </c>
      <c r="B5" s="137"/>
      <c r="C5" s="137"/>
      <c r="D5" s="145"/>
      <c r="E5" s="145"/>
      <c r="F5" s="145"/>
      <c r="G5" s="145"/>
      <c r="H5" s="146"/>
      <c r="I5" s="139"/>
      <c r="J5" s="137"/>
      <c r="K5" s="145"/>
      <c r="L5" s="145"/>
      <c r="M5" s="137"/>
      <c r="N5" s="137"/>
      <c r="O5" s="150"/>
      <c r="P5" s="145"/>
      <c r="Q5" s="145"/>
      <c r="T5" s="104"/>
    </row>
    <row r="6" spans="1:20" s="42" customFormat="1" x14ac:dyDescent="0.25">
      <c r="A6" s="108"/>
      <c r="B6" s="108"/>
      <c r="C6" s="109"/>
      <c r="D6" s="109"/>
      <c r="E6" s="109"/>
      <c r="F6" s="15"/>
      <c r="G6" s="15"/>
      <c r="H6" s="110"/>
      <c r="I6" s="112"/>
      <c r="J6" s="93"/>
      <c r="K6" s="16"/>
      <c r="L6" s="16"/>
      <c r="M6" s="16"/>
      <c r="N6" s="93"/>
      <c r="O6" s="17"/>
      <c r="P6" s="17"/>
      <c r="Q6" s="17"/>
      <c r="T6" s="104"/>
    </row>
    <row r="7" spans="1:20" x14ac:dyDescent="0.25">
      <c r="A7" s="64" t="s">
        <v>0</v>
      </c>
      <c r="B7" s="137" t="s">
        <v>10</v>
      </c>
      <c r="C7" s="138"/>
      <c r="D7" s="138"/>
      <c r="E7" s="138"/>
      <c r="F7" s="137"/>
      <c r="G7" s="137"/>
      <c r="H7" s="139" t="s">
        <v>172</v>
      </c>
      <c r="I7" s="139"/>
      <c r="J7" s="137"/>
      <c r="K7" s="137"/>
      <c r="L7" s="137"/>
      <c r="M7" s="137"/>
      <c r="N7" s="137" t="s">
        <v>113</v>
      </c>
      <c r="O7" s="150"/>
      <c r="P7" s="137"/>
      <c r="Q7" s="137"/>
    </row>
    <row r="8" spans="1:20" ht="195" x14ac:dyDescent="0.25">
      <c r="A8" s="64"/>
      <c r="B8" s="108" t="s">
        <v>4</v>
      </c>
      <c r="C8" s="109" t="s">
        <v>1</v>
      </c>
      <c r="D8" s="109" t="s">
        <v>3</v>
      </c>
      <c r="E8" s="109" t="s">
        <v>2</v>
      </c>
      <c r="F8" s="108" t="s">
        <v>6</v>
      </c>
      <c r="G8" s="15" t="s">
        <v>5</v>
      </c>
      <c r="H8" s="108" t="s">
        <v>7</v>
      </c>
      <c r="I8" s="111" t="s">
        <v>8</v>
      </c>
      <c r="J8" s="93" t="s">
        <v>9</v>
      </c>
      <c r="K8" s="16" t="s">
        <v>11</v>
      </c>
      <c r="L8" s="16" t="s">
        <v>12</v>
      </c>
      <c r="M8" s="16" t="s">
        <v>13</v>
      </c>
      <c r="N8" s="93" t="s">
        <v>9</v>
      </c>
      <c r="O8" s="17" t="s">
        <v>11</v>
      </c>
      <c r="P8" s="17" t="s">
        <v>12</v>
      </c>
      <c r="Q8" s="17" t="s">
        <v>13</v>
      </c>
    </row>
    <row r="9" spans="1:20" x14ac:dyDescent="0.25">
      <c r="A9" s="65">
        <v>1</v>
      </c>
      <c r="B9" s="10">
        <f>A9+1</f>
        <v>2</v>
      </c>
      <c r="C9" s="65">
        <f t="shared" ref="C9:Q9" si="0">B9+1</f>
        <v>3</v>
      </c>
      <c r="D9" s="65">
        <f t="shared" si="0"/>
        <v>4</v>
      </c>
      <c r="E9" s="65">
        <f t="shared" si="0"/>
        <v>5</v>
      </c>
      <c r="F9" s="18">
        <f t="shared" si="0"/>
        <v>6</v>
      </c>
      <c r="G9" s="18">
        <f t="shared" si="0"/>
        <v>7</v>
      </c>
      <c r="H9" s="19">
        <f t="shared" si="0"/>
        <v>8</v>
      </c>
      <c r="I9" s="19">
        <f t="shared" si="0"/>
        <v>9</v>
      </c>
      <c r="J9" s="94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94">
        <f t="shared" si="0"/>
        <v>14</v>
      </c>
      <c r="O9" s="21">
        <f t="shared" si="0"/>
        <v>15</v>
      </c>
      <c r="P9" s="21">
        <f t="shared" si="0"/>
        <v>16</v>
      </c>
      <c r="Q9" s="21">
        <f t="shared" si="0"/>
        <v>17</v>
      </c>
    </row>
    <row r="10" spans="1:20" s="3" customFormat="1" ht="30" x14ac:dyDescent="0.25">
      <c r="A10" s="66"/>
      <c r="B10" s="11" t="s">
        <v>16</v>
      </c>
      <c r="C10" s="48" t="s">
        <v>135</v>
      </c>
      <c r="D10" s="49" t="s">
        <v>141</v>
      </c>
      <c r="E10" s="50" t="s">
        <v>18</v>
      </c>
      <c r="F10" s="115" t="s">
        <v>249</v>
      </c>
      <c r="G10" s="23" t="s">
        <v>102</v>
      </c>
      <c r="H10" s="24"/>
      <c r="I10" s="25"/>
      <c r="J10" s="38"/>
      <c r="K10" s="26"/>
      <c r="L10" s="26"/>
      <c r="M10" s="62">
        <f>K10-L10</f>
        <v>0</v>
      </c>
      <c r="N10" s="40"/>
      <c r="O10" s="26"/>
      <c r="P10" s="26"/>
      <c r="Q10" s="27">
        <f>O10-P10</f>
        <v>0</v>
      </c>
    </row>
    <row r="11" spans="1:20" s="3" customFormat="1" ht="30" x14ac:dyDescent="0.25">
      <c r="A11" s="66"/>
      <c r="B11" s="11" t="s">
        <v>16</v>
      </c>
      <c r="C11" s="48" t="s">
        <v>135</v>
      </c>
      <c r="D11" s="49" t="s">
        <v>141</v>
      </c>
      <c r="E11" s="50" t="s">
        <v>18</v>
      </c>
      <c r="F11" s="22" t="s">
        <v>268</v>
      </c>
      <c r="G11" s="67" t="s">
        <v>106</v>
      </c>
      <c r="H11" s="48"/>
      <c r="I11" s="68"/>
      <c r="J11" s="37"/>
      <c r="K11" s="62"/>
      <c r="L11" s="62"/>
      <c r="M11" s="62">
        <f>K11-L11</f>
        <v>0</v>
      </c>
      <c r="N11" s="40">
        <v>1</v>
      </c>
      <c r="O11" s="62"/>
      <c r="P11" s="62"/>
      <c r="Q11" s="69">
        <f t="shared" ref="Q11:Q81" si="1">O11-P11</f>
        <v>0</v>
      </c>
    </row>
    <row r="12" spans="1:20" s="3" customFormat="1" x14ac:dyDescent="0.25">
      <c r="A12" s="66"/>
      <c r="B12" s="11" t="s">
        <v>157</v>
      </c>
      <c r="C12" s="48" t="s">
        <v>135</v>
      </c>
      <c r="D12" s="49"/>
      <c r="E12" s="50"/>
      <c r="F12" s="51" t="s">
        <v>174</v>
      </c>
      <c r="G12" s="67" t="s">
        <v>102</v>
      </c>
      <c r="H12" s="48">
        <v>2</v>
      </c>
      <c r="I12" s="68"/>
      <c r="J12" s="37"/>
      <c r="K12" s="62"/>
      <c r="L12" s="62"/>
      <c r="M12" s="62">
        <f t="shared" ref="M12:M75" si="2">K12-L12</f>
        <v>0</v>
      </c>
      <c r="N12" s="40">
        <f>1+4</f>
        <v>5</v>
      </c>
      <c r="O12" s="62">
        <f>13427.71</f>
        <v>13427.71</v>
      </c>
      <c r="P12" s="62">
        <f>13427.71</f>
        <v>13427.71</v>
      </c>
      <c r="Q12" s="27">
        <f t="shared" si="1"/>
        <v>0</v>
      </c>
    </row>
    <row r="13" spans="1:20" s="4" customFormat="1" x14ac:dyDescent="0.25">
      <c r="A13" s="66"/>
      <c r="B13" s="11" t="s">
        <v>19</v>
      </c>
      <c r="C13" s="48" t="s">
        <v>17</v>
      </c>
      <c r="D13" s="49"/>
      <c r="E13" s="50" t="s">
        <v>20</v>
      </c>
      <c r="F13" s="51" t="s">
        <v>175</v>
      </c>
      <c r="G13" s="23" t="s">
        <v>102</v>
      </c>
      <c r="H13" s="24">
        <v>2</v>
      </c>
      <c r="I13" s="25">
        <v>1</v>
      </c>
      <c r="J13" s="37">
        <f>1</f>
        <v>1</v>
      </c>
      <c r="K13" s="26"/>
      <c r="L13" s="26"/>
      <c r="M13" s="62">
        <f t="shared" si="2"/>
        <v>0</v>
      </c>
      <c r="N13" s="40"/>
      <c r="O13" s="26">
        <f>461.44</f>
        <v>461.44</v>
      </c>
      <c r="P13" s="26">
        <f>461.44</f>
        <v>461.44</v>
      </c>
      <c r="Q13" s="27">
        <f t="shared" si="1"/>
        <v>0</v>
      </c>
    </row>
    <row r="14" spans="1:20" s="4" customFormat="1" x14ac:dyDescent="0.25">
      <c r="A14" s="66"/>
      <c r="B14" s="11" t="s">
        <v>19</v>
      </c>
      <c r="C14" s="48" t="s">
        <v>17</v>
      </c>
      <c r="D14" s="49"/>
      <c r="E14" s="50" t="s">
        <v>20</v>
      </c>
      <c r="F14" s="22"/>
      <c r="G14" s="67" t="s">
        <v>104</v>
      </c>
      <c r="H14" s="48">
        <v>2</v>
      </c>
      <c r="I14" s="68"/>
      <c r="J14" s="52"/>
      <c r="K14" s="26"/>
      <c r="L14" s="26"/>
      <c r="M14" s="62">
        <f t="shared" si="2"/>
        <v>0</v>
      </c>
      <c r="N14" s="40"/>
      <c r="O14" s="62"/>
      <c r="P14" s="62"/>
      <c r="Q14" s="69">
        <f t="shared" si="1"/>
        <v>0</v>
      </c>
    </row>
    <row r="15" spans="1:20" s="4" customFormat="1" x14ac:dyDescent="0.25">
      <c r="A15" s="66"/>
      <c r="B15" s="11" t="s">
        <v>128</v>
      </c>
      <c r="C15" s="48" t="s">
        <v>17</v>
      </c>
      <c r="D15" s="49"/>
      <c r="E15" s="50" t="s">
        <v>20</v>
      </c>
      <c r="F15" s="51" t="s">
        <v>176</v>
      </c>
      <c r="G15" s="23" t="s">
        <v>102</v>
      </c>
      <c r="H15" s="24">
        <v>1</v>
      </c>
      <c r="I15" s="29"/>
      <c r="J15" s="37"/>
      <c r="K15" s="26"/>
      <c r="L15" s="26"/>
      <c r="M15" s="62">
        <f t="shared" si="2"/>
        <v>0</v>
      </c>
      <c r="N15" s="43"/>
      <c r="O15" s="28"/>
      <c r="P15" s="28"/>
      <c r="Q15" s="27">
        <f t="shared" si="1"/>
        <v>0</v>
      </c>
    </row>
    <row r="16" spans="1:20" s="4" customFormat="1" x14ac:dyDescent="0.25">
      <c r="A16" s="66"/>
      <c r="B16" s="70" t="s">
        <v>128</v>
      </c>
      <c r="C16" s="48" t="s">
        <v>17</v>
      </c>
      <c r="D16" s="49"/>
      <c r="E16" s="50" t="s">
        <v>20</v>
      </c>
      <c r="F16" s="22"/>
      <c r="G16" s="67" t="s">
        <v>104</v>
      </c>
      <c r="H16" s="48">
        <v>2</v>
      </c>
      <c r="I16" s="68"/>
      <c r="J16" s="52"/>
      <c r="K16" s="26"/>
      <c r="L16" s="26"/>
      <c r="M16" s="62">
        <f t="shared" si="2"/>
        <v>0</v>
      </c>
      <c r="N16" s="40"/>
      <c r="O16" s="62"/>
      <c r="P16" s="62"/>
      <c r="Q16" s="69">
        <f t="shared" si="1"/>
        <v>0</v>
      </c>
    </row>
    <row r="17" spans="1:17" s="3" customFormat="1" x14ac:dyDescent="0.25">
      <c r="A17" s="66"/>
      <c r="B17" s="8" t="s">
        <v>22</v>
      </c>
      <c r="C17" s="48" t="s">
        <v>17</v>
      </c>
      <c r="D17" s="49"/>
      <c r="E17" s="50" t="s">
        <v>23</v>
      </c>
      <c r="F17" s="113" t="s">
        <v>221</v>
      </c>
      <c r="G17" s="23" t="s">
        <v>102</v>
      </c>
      <c r="H17" s="24">
        <v>5</v>
      </c>
      <c r="I17" s="25"/>
      <c r="J17" s="37"/>
      <c r="K17" s="26"/>
      <c r="L17" s="26"/>
      <c r="M17" s="62">
        <f t="shared" si="2"/>
        <v>0</v>
      </c>
      <c r="N17" s="40">
        <f>19+5</f>
        <v>24</v>
      </c>
      <c r="O17" s="26">
        <v>35776.129999999997</v>
      </c>
      <c r="P17" s="26">
        <v>35776.129999999997</v>
      </c>
      <c r="Q17" s="27">
        <f t="shared" si="1"/>
        <v>0</v>
      </c>
    </row>
    <row r="18" spans="1:17" s="3" customFormat="1" x14ac:dyDescent="0.25">
      <c r="A18" s="66"/>
      <c r="B18" s="8" t="s">
        <v>129</v>
      </c>
      <c r="C18" s="48" t="s">
        <v>17</v>
      </c>
      <c r="D18" s="49"/>
      <c r="E18" s="50" t="s">
        <v>20</v>
      </c>
      <c r="F18" s="22"/>
      <c r="G18" s="67" t="s">
        <v>104</v>
      </c>
      <c r="H18" s="48"/>
      <c r="I18" s="71"/>
      <c r="J18" s="52"/>
      <c r="K18" s="53"/>
      <c r="L18" s="53"/>
      <c r="M18" s="62">
        <f t="shared" si="2"/>
        <v>0</v>
      </c>
      <c r="N18" s="43"/>
      <c r="O18" s="62"/>
      <c r="P18" s="62"/>
      <c r="Q18" s="69">
        <f t="shared" si="1"/>
        <v>0</v>
      </c>
    </row>
    <row r="19" spans="1:17" s="3" customFormat="1" x14ac:dyDescent="0.25">
      <c r="A19" s="66"/>
      <c r="B19" s="8" t="s">
        <v>129</v>
      </c>
      <c r="C19" s="48" t="s">
        <v>17</v>
      </c>
      <c r="D19" s="49"/>
      <c r="E19" s="50" t="s">
        <v>20</v>
      </c>
      <c r="F19" s="51" t="s">
        <v>177</v>
      </c>
      <c r="G19" s="23" t="s">
        <v>102</v>
      </c>
      <c r="H19" s="24">
        <v>6</v>
      </c>
      <c r="I19" s="25">
        <v>1</v>
      </c>
      <c r="J19" s="37">
        <f>1</f>
        <v>1</v>
      </c>
      <c r="K19" s="26">
        <v>1211.17</v>
      </c>
      <c r="L19" s="26">
        <v>1211.17</v>
      </c>
      <c r="M19" s="62">
        <f t="shared" si="2"/>
        <v>0</v>
      </c>
      <c r="N19" s="40">
        <f>5+1</f>
        <v>6</v>
      </c>
      <c r="O19" s="28">
        <f>10417.85</f>
        <v>10417.85</v>
      </c>
      <c r="P19" s="28">
        <f>10417.85</f>
        <v>10417.85</v>
      </c>
      <c r="Q19" s="27">
        <f t="shared" si="1"/>
        <v>0</v>
      </c>
    </row>
    <row r="20" spans="1:17" s="3" customFormat="1" x14ac:dyDescent="0.25">
      <c r="A20" s="66"/>
      <c r="B20" s="11" t="s">
        <v>24</v>
      </c>
      <c r="C20" s="48" t="s">
        <v>17</v>
      </c>
      <c r="D20" s="49"/>
      <c r="E20" s="50" t="s">
        <v>20</v>
      </c>
      <c r="F20" s="51" t="s">
        <v>238</v>
      </c>
      <c r="G20" s="23" t="s">
        <v>102</v>
      </c>
      <c r="H20" s="24">
        <v>1</v>
      </c>
      <c r="I20" s="25"/>
      <c r="J20" s="37"/>
      <c r="K20" s="26"/>
      <c r="L20" s="26"/>
      <c r="M20" s="62">
        <f t="shared" si="2"/>
        <v>0</v>
      </c>
      <c r="N20" s="40">
        <f>3</f>
        <v>3</v>
      </c>
      <c r="O20" s="28"/>
      <c r="P20" s="28"/>
      <c r="Q20" s="69">
        <f t="shared" si="1"/>
        <v>0</v>
      </c>
    </row>
    <row r="21" spans="1:17" s="3" customFormat="1" x14ac:dyDescent="0.25">
      <c r="A21" s="66"/>
      <c r="B21" s="11" t="s">
        <v>24</v>
      </c>
      <c r="C21" s="48" t="s">
        <v>17</v>
      </c>
      <c r="D21" s="49"/>
      <c r="E21" s="50" t="s">
        <v>20</v>
      </c>
      <c r="F21" s="22"/>
      <c r="G21" s="67" t="s">
        <v>104</v>
      </c>
      <c r="H21" s="48"/>
      <c r="I21" s="68"/>
      <c r="J21" s="52"/>
      <c r="K21" s="26"/>
      <c r="L21" s="26"/>
      <c r="M21" s="62">
        <f t="shared" si="2"/>
        <v>0</v>
      </c>
      <c r="N21" s="40"/>
      <c r="O21" s="62"/>
      <c r="P21" s="62"/>
      <c r="Q21" s="69">
        <f t="shared" si="1"/>
        <v>0</v>
      </c>
    </row>
    <row r="22" spans="1:17" s="3" customFormat="1" x14ac:dyDescent="0.25">
      <c r="A22" s="66"/>
      <c r="B22" s="11" t="s">
        <v>25</v>
      </c>
      <c r="C22" s="48" t="s">
        <v>17</v>
      </c>
      <c r="D22" s="49"/>
      <c r="E22" s="50" t="s">
        <v>20</v>
      </c>
      <c r="F22" s="51" t="s">
        <v>178</v>
      </c>
      <c r="G22" s="23" t="s">
        <v>102</v>
      </c>
      <c r="H22" s="24">
        <v>1</v>
      </c>
      <c r="I22" s="25">
        <v>1</v>
      </c>
      <c r="J22" s="37">
        <f>1</f>
        <v>1</v>
      </c>
      <c r="K22" s="47"/>
      <c r="L22" s="47"/>
      <c r="M22" s="62">
        <f t="shared" si="2"/>
        <v>0</v>
      </c>
      <c r="N22" s="40">
        <f>7+1</f>
        <v>8</v>
      </c>
      <c r="O22" s="47">
        <f>12426.29+1657.62</f>
        <v>14083.91</v>
      </c>
      <c r="P22" s="47">
        <f>12426.29+1657.62</f>
        <v>14083.91</v>
      </c>
      <c r="Q22" s="69">
        <f t="shared" si="1"/>
        <v>0</v>
      </c>
    </row>
    <row r="23" spans="1:17" s="3" customFormat="1" x14ac:dyDescent="0.25">
      <c r="A23" s="66"/>
      <c r="B23" s="11" t="s">
        <v>25</v>
      </c>
      <c r="C23" s="48" t="s">
        <v>17</v>
      </c>
      <c r="D23" s="49"/>
      <c r="E23" s="50" t="s">
        <v>20</v>
      </c>
      <c r="F23" s="22"/>
      <c r="G23" s="67" t="s">
        <v>104</v>
      </c>
      <c r="H23" s="48">
        <v>1</v>
      </c>
      <c r="I23" s="68"/>
      <c r="J23" s="52"/>
      <c r="K23" s="26"/>
      <c r="L23" s="26"/>
      <c r="M23" s="62">
        <f t="shared" si="2"/>
        <v>0</v>
      </c>
      <c r="N23" s="40"/>
      <c r="O23" s="62"/>
      <c r="P23" s="62"/>
      <c r="Q23" s="69">
        <f t="shared" si="1"/>
        <v>0</v>
      </c>
    </row>
    <row r="24" spans="1:17" s="3" customFormat="1" x14ac:dyDescent="0.25">
      <c r="A24" s="66"/>
      <c r="B24" s="11" t="s">
        <v>167</v>
      </c>
      <c r="C24" s="48" t="s">
        <v>17</v>
      </c>
      <c r="D24" s="49"/>
      <c r="E24" s="50" t="s">
        <v>20</v>
      </c>
      <c r="F24" s="51" t="s">
        <v>179</v>
      </c>
      <c r="G24" s="84" t="s">
        <v>102</v>
      </c>
      <c r="H24" s="48">
        <v>4</v>
      </c>
      <c r="I24" s="68"/>
      <c r="J24" s="52"/>
      <c r="K24" s="26"/>
      <c r="L24" s="26"/>
      <c r="M24" s="62">
        <f t="shared" si="2"/>
        <v>0</v>
      </c>
      <c r="N24" s="40">
        <f>2</f>
        <v>2</v>
      </c>
      <c r="O24" s="26">
        <f>808.27</f>
        <v>808.27</v>
      </c>
      <c r="P24" s="26">
        <f>808.27</f>
        <v>808.27</v>
      </c>
      <c r="Q24" s="69"/>
    </row>
    <row r="25" spans="1:17" s="3" customFormat="1" x14ac:dyDescent="0.25">
      <c r="A25" s="66"/>
      <c r="B25" s="11" t="s">
        <v>26</v>
      </c>
      <c r="C25" s="48" t="s">
        <v>17</v>
      </c>
      <c r="D25" s="49"/>
      <c r="E25" s="50" t="s">
        <v>27</v>
      </c>
      <c r="F25" s="113" t="s">
        <v>222</v>
      </c>
      <c r="G25" s="23" t="s">
        <v>102</v>
      </c>
      <c r="H25" s="24"/>
      <c r="I25" s="25"/>
      <c r="J25" s="37"/>
      <c r="K25" s="26"/>
      <c r="L25" s="26"/>
      <c r="M25" s="62">
        <f t="shared" si="2"/>
        <v>0</v>
      </c>
      <c r="N25" s="40">
        <f>2</f>
        <v>2</v>
      </c>
      <c r="O25" s="28">
        <f>4756.65</f>
        <v>4756.6499999999996</v>
      </c>
      <c r="P25" s="28">
        <f>4756.65</f>
        <v>4756.6499999999996</v>
      </c>
      <c r="Q25" s="69">
        <f t="shared" si="1"/>
        <v>0</v>
      </c>
    </row>
    <row r="26" spans="1:17" s="4" customFormat="1" x14ac:dyDescent="0.25">
      <c r="A26" s="66"/>
      <c r="B26" s="11" t="s">
        <v>28</v>
      </c>
      <c r="C26" s="48" t="s">
        <v>17</v>
      </c>
      <c r="D26" s="49"/>
      <c r="E26" s="54" t="s">
        <v>29</v>
      </c>
      <c r="F26" s="51" t="s">
        <v>180</v>
      </c>
      <c r="G26" s="23" t="s">
        <v>102</v>
      </c>
      <c r="H26" s="24"/>
      <c r="I26" s="25"/>
      <c r="J26" s="37"/>
      <c r="K26" s="26"/>
      <c r="L26" s="26"/>
      <c r="M26" s="62">
        <f t="shared" si="2"/>
        <v>0</v>
      </c>
      <c r="N26" s="40">
        <f>2+1</f>
        <v>3</v>
      </c>
      <c r="O26" s="26">
        <f>14007.66</f>
        <v>14007.66</v>
      </c>
      <c r="P26" s="26">
        <f>14007.66</f>
        <v>14007.66</v>
      </c>
      <c r="Q26" s="69">
        <f t="shared" si="1"/>
        <v>0</v>
      </c>
    </row>
    <row r="27" spans="1:17" s="4" customFormat="1" x14ac:dyDescent="0.25">
      <c r="A27" s="66"/>
      <c r="B27" s="11" t="s">
        <v>28</v>
      </c>
      <c r="C27" s="48" t="s">
        <v>17</v>
      </c>
      <c r="D27" s="49"/>
      <c r="E27" s="54" t="s">
        <v>29</v>
      </c>
      <c r="F27" s="22"/>
      <c r="G27" s="72" t="s">
        <v>107</v>
      </c>
      <c r="H27" s="48">
        <v>1</v>
      </c>
      <c r="I27" s="68"/>
      <c r="J27" s="37"/>
      <c r="K27" s="26"/>
      <c r="L27" s="26"/>
      <c r="M27" s="62">
        <f t="shared" si="2"/>
        <v>0</v>
      </c>
      <c r="N27" s="40"/>
      <c r="O27" s="62"/>
      <c r="P27" s="62"/>
      <c r="Q27" s="27">
        <f t="shared" si="1"/>
        <v>0</v>
      </c>
    </row>
    <row r="28" spans="1:17" s="4" customFormat="1" x14ac:dyDescent="0.25">
      <c r="A28" s="66"/>
      <c r="B28" s="70" t="s">
        <v>162</v>
      </c>
      <c r="C28" s="48" t="s">
        <v>17</v>
      </c>
      <c r="D28" s="49"/>
      <c r="E28" s="54"/>
      <c r="F28" s="51" t="s">
        <v>239</v>
      </c>
      <c r="G28" s="72" t="s">
        <v>102</v>
      </c>
      <c r="H28" s="48">
        <v>6</v>
      </c>
      <c r="I28" s="68">
        <v>2</v>
      </c>
      <c r="J28" s="37">
        <f>3</f>
        <v>3</v>
      </c>
      <c r="K28" s="26"/>
      <c r="L28" s="26"/>
      <c r="M28" s="62">
        <f t="shared" si="2"/>
        <v>0</v>
      </c>
      <c r="N28" s="40">
        <f>1</f>
        <v>1</v>
      </c>
      <c r="O28" s="62"/>
      <c r="P28" s="62"/>
      <c r="Q28" s="27">
        <f t="shared" si="1"/>
        <v>0</v>
      </c>
    </row>
    <row r="29" spans="1:17" s="3" customFormat="1" x14ac:dyDescent="0.25">
      <c r="A29" s="66"/>
      <c r="B29" s="7" t="s">
        <v>30</v>
      </c>
      <c r="C29" s="48" t="s">
        <v>17</v>
      </c>
      <c r="D29" s="49"/>
      <c r="E29" s="54" t="s">
        <v>21</v>
      </c>
      <c r="F29" s="113" t="s">
        <v>223</v>
      </c>
      <c r="G29" s="23" t="s">
        <v>102</v>
      </c>
      <c r="H29" s="24">
        <v>6</v>
      </c>
      <c r="I29" s="25"/>
      <c r="J29" s="37"/>
      <c r="K29" s="26"/>
      <c r="L29" s="26"/>
      <c r="M29" s="62">
        <f t="shared" si="2"/>
        <v>0</v>
      </c>
      <c r="N29" s="40">
        <f>3+5</f>
        <v>8</v>
      </c>
      <c r="O29" s="28">
        <f>5814.86</f>
        <v>5814.86</v>
      </c>
      <c r="P29" s="28">
        <f>5814.86</f>
        <v>5814.86</v>
      </c>
      <c r="Q29" s="27">
        <f>O29-P29</f>
        <v>0</v>
      </c>
    </row>
    <row r="30" spans="1:17" s="3" customFormat="1" x14ac:dyDescent="0.25">
      <c r="A30" s="66"/>
      <c r="B30" s="7" t="s">
        <v>158</v>
      </c>
      <c r="C30" s="48" t="s">
        <v>17</v>
      </c>
      <c r="D30" s="49"/>
      <c r="E30" s="50" t="s">
        <v>20</v>
      </c>
      <c r="F30" s="115" t="s">
        <v>250</v>
      </c>
      <c r="G30" s="23" t="s">
        <v>102</v>
      </c>
      <c r="H30" s="24"/>
      <c r="I30" s="25"/>
      <c r="J30" s="37"/>
      <c r="K30" s="26"/>
      <c r="L30" s="26"/>
      <c r="M30" s="62">
        <f t="shared" si="2"/>
        <v>0</v>
      </c>
      <c r="N30" s="40"/>
      <c r="O30" s="28"/>
      <c r="P30" s="28"/>
      <c r="Q30" s="27">
        <f t="shared" si="1"/>
        <v>0</v>
      </c>
    </row>
    <row r="31" spans="1:17" s="3" customFormat="1" x14ac:dyDescent="0.25">
      <c r="A31" s="66"/>
      <c r="B31" s="7" t="s">
        <v>158</v>
      </c>
      <c r="C31" s="48" t="s">
        <v>17</v>
      </c>
      <c r="D31" s="49"/>
      <c r="E31" s="50" t="s">
        <v>20</v>
      </c>
      <c r="F31" s="22"/>
      <c r="G31" s="23" t="s">
        <v>104</v>
      </c>
      <c r="H31" s="24">
        <v>1</v>
      </c>
      <c r="I31" s="25"/>
      <c r="J31" s="37"/>
      <c r="K31" s="26"/>
      <c r="L31" s="26"/>
      <c r="M31" s="62">
        <f t="shared" si="2"/>
        <v>0</v>
      </c>
      <c r="N31" s="40">
        <f>1</f>
        <v>1</v>
      </c>
      <c r="O31" s="28"/>
      <c r="P31" s="28"/>
      <c r="Q31" s="69">
        <f t="shared" si="1"/>
        <v>0</v>
      </c>
    </row>
    <row r="32" spans="1:17" s="3" customFormat="1" x14ac:dyDescent="0.25">
      <c r="A32" s="66"/>
      <c r="B32" s="7" t="s">
        <v>158</v>
      </c>
      <c r="C32" s="48" t="s">
        <v>17</v>
      </c>
      <c r="D32" s="49"/>
      <c r="E32" s="50"/>
      <c r="F32" s="22"/>
      <c r="G32" s="72" t="s">
        <v>107</v>
      </c>
      <c r="H32" s="24"/>
      <c r="I32" s="25"/>
      <c r="J32" s="37"/>
      <c r="K32" s="26"/>
      <c r="L32" s="26"/>
      <c r="M32" s="62">
        <f t="shared" si="2"/>
        <v>0</v>
      </c>
      <c r="N32" s="40"/>
      <c r="O32" s="28"/>
      <c r="P32" s="28"/>
      <c r="Q32" s="69">
        <f t="shared" si="1"/>
        <v>0</v>
      </c>
    </row>
    <row r="33" spans="1:17" s="3" customFormat="1" x14ac:dyDescent="0.25">
      <c r="A33" s="66"/>
      <c r="B33" s="8" t="s">
        <v>31</v>
      </c>
      <c r="C33" s="48" t="s">
        <v>17</v>
      </c>
      <c r="D33" s="49"/>
      <c r="E33" s="50" t="s">
        <v>32</v>
      </c>
      <c r="F33" s="113" t="s">
        <v>229</v>
      </c>
      <c r="G33" s="23" t="s">
        <v>102</v>
      </c>
      <c r="H33" s="24">
        <v>1</v>
      </c>
      <c r="I33" s="25"/>
      <c r="J33" s="37"/>
      <c r="K33" s="26"/>
      <c r="L33" s="26"/>
      <c r="M33" s="62">
        <f t="shared" si="2"/>
        <v>0</v>
      </c>
      <c r="N33" s="40">
        <f>2</f>
        <v>2</v>
      </c>
      <c r="O33" s="28">
        <f>5123.67</f>
        <v>5123.67</v>
      </c>
      <c r="P33" s="28">
        <f>5123.67</f>
        <v>5123.67</v>
      </c>
      <c r="Q33" s="69">
        <f t="shared" si="1"/>
        <v>0</v>
      </c>
    </row>
    <row r="34" spans="1:17" s="3" customFormat="1" x14ac:dyDescent="0.25">
      <c r="A34" s="66"/>
      <c r="B34" s="8" t="s">
        <v>31</v>
      </c>
      <c r="C34" s="48" t="s">
        <v>17</v>
      </c>
      <c r="D34" s="49"/>
      <c r="E34" s="50" t="s">
        <v>32</v>
      </c>
      <c r="F34" s="22"/>
      <c r="G34" s="72" t="s">
        <v>107</v>
      </c>
      <c r="H34" s="48">
        <v>1</v>
      </c>
      <c r="I34" s="68"/>
      <c r="J34" s="37"/>
      <c r="K34" s="26"/>
      <c r="L34" s="26"/>
      <c r="M34" s="62">
        <f t="shared" si="2"/>
        <v>0</v>
      </c>
      <c r="N34" s="40">
        <v>4</v>
      </c>
      <c r="O34" s="26"/>
      <c r="P34" s="26"/>
      <c r="Q34" s="69">
        <f t="shared" si="1"/>
        <v>0</v>
      </c>
    </row>
    <row r="35" spans="1:17" s="4" customFormat="1" x14ac:dyDescent="0.25">
      <c r="A35" s="66"/>
      <c r="B35" s="11" t="s">
        <v>33</v>
      </c>
      <c r="C35" s="48" t="s">
        <v>17</v>
      </c>
      <c r="D35" s="49"/>
      <c r="E35" s="50" t="s">
        <v>20</v>
      </c>
      <c r="F35" s="113" t="s">
        <v>240</v>
      </c>
      <c r="G35" s="23" t="s">
        <v>102</v>
      </c>
      <c r="H35" s="24">
        <v>1</v>
      </c>
      <c r="I35" s="25"/>
      <c r="J35" s="37"/>
      <c r="K35" s="26"/>
      <c r="L35" s="26"/>
      <c r="M35" s="62">
        <f t="shared" si="2"/>
        <v>0</v>
      </c>
      <c r="N35" s="40">
        <f>1+1</f>
        <v>2</v>
      </c>
      <c r="O35" s="28"/>
      <c r="P35" s="28"/>
      <c r="Q35" s="27">
        <f t="shared" si="1"/>
        <v>0</v>
      </c>
    </row>
    <row r="36" spans="1:17" s="4" customFormat="1" x14ac:dyDescent="0.25">
      <c r="A36" s="66"/>
      <c r="B36" s="11" t="s">
        <v>33</v>
      </c>
      <c r="C36" s="48" t="s">
        <v>17</v>
      </c>
      <c r="D36" s="49"/>
      <c r="E36" s="50" t="s">
        <v>20</v>
      </c>
      <c r="F36" s="22"/>
      <c r="G36" s="67" t="s">
        <v>104</v>
      </c>
      <c r="H36" s="48"/>
      <c r="I36" s="68"/>
      <c r="J36" s="52"/>
      <c r="K36" s="26"/>
      <c r="L36" s="26"/>
      <c r="M36" s="62">
        <f t="shared" si="2"/>
        <v>0</v>
      </c>
      <c r="N36" s="40">
        <v>1</v>
      </c>
      <c r="O36" s="62"/>
      <c r="P36" s="62"/>
      <c r="Q36" s="69">
        <f t="shared" si="1"/>
        <v>0</v>
      </c>
    </row>
    <row r="37" spans="1:17" s="4" customFormat="1" x14ac:dyDescent="0.25">
      <c r="A37" s="66"/>
      <c r="B37" s="11" t="s">
        <v>122</v>
      </c>
      <c r="C37" s="48" t="s">
        <v>17</v>
      </c>
      <c r="D37" s="49"/>
      <c r="E37" s="50" t="s">
        <v>29</v>
      </c>
      <c r="F37" s="51" t="s">
        <v>181</v>
      </c>
      <c r="G37" s="23" t="s">
        <v>102</v>
      </c>
      <c r="H37" s="24">
        <v>1</v>
      </c>
      <c r="I37" s="71"/>
      <c r="J37" s="37"/>
      <c r="K37" s="26"/>
      <c r="L37" s="26"/>
      <c r="M37" s="62">
        <f t="shared" si="2"/>
        <v>0</v>
      </c>
      <c r="N37" s="43">
        <f>1</f>
        <v>1</v>
      </c>
      <c r="O37" s="26">
        <f>1386.32</f>
        <v>1386.32</v>
      </c>
      <c r="P37" s="26">
        <f>1386.32</f>
        <v>1386.32</v>
      </c>
      <c r="Q37" s="27">
        <f t="shared" si="1"/>
        <v>0</v>
      </c>
    </row>
    <row r="38" spans="1:17" s="4" customFormat="1" x14ac:dyDescent="0.25">
      <c r="A38" s="66"/>
      <c r="B38" s="70" t="s">
        <v>122</v>
      </c>
      <c r="C38" s="48" t="s">
        <v>17</v>
      </c>
      <c r="D38" s="49"/>
      <c r="E38" s="50" t="s">
        <v>29</v>
      </c>
      <c r="F38" s="22"/>
      <c r="G38" s="67" t="s">
        <v>107</v>
      </c>
      <c r="H38" s="48">
        <v>1</v>
      </c>
      <c r="I38" s="68"/>
      <c r="J38" s="37"/>
      <c r="K38" s="26"/>
      <c r="L38" s="26"/>
      <c r="M38" s="62">
        <f t="shared" si="2"/>
        <v>0</v>
      </c>
      <c r="N38" s="40">
        <v>2</v>
      </c>
      <c r="O38" s="62"/>
      <c r="P38" s="62"/>
      <c r="Q38" s="69">
        <f t="shared" si="1"/>
        <v>0</v>
      </c>
    </row>
    <row r="39" spans="1:17" s="3" customFormat="1" x14ac:dyDescent="0.25">
      <c r="A39" s="66"/>
      <c r="B39" s="11" t="s">
        <v>34</v>
      </c>
      <c r="C39" s="48" t="s">
        <v>17</v>
      </c>
      <c r="D39" s="49"/>
      <c r="E39" s="54" t="s">
        <v>35</v>
      </c>
      <c r="F39" s="113" t="s">
        <v>224</v>
      </c>
      <c r="G39" s="23" t="s">
        <v>102</v>
      </c>
      <c r="H39" s="24">
        <v>2</v>
      </c>
      <c r="I39" s="25"/>
      <c r="J39" s="37"/>
      <c r="K39" s="26"/>
      <c r="L39" s="26"/>
      <c r="M39" s="62">
        <f t="shared" si="2"/>
        <v>0</v>
      </c>
      <c r="N39" s="40">
        <f>3+1</f>
        <v>4</v>
      </c>
      <c r="O39" s="28">
        <f>7427.59</f>
        <v>7427.59</v>
      </c>
      <c r="P39" s="28">
        <f>7427.59</f>
        <v>7427.59</v>
      </c>
      <c r="Q39" s="27">
        <f t="shared" si="1"/>
        <v>0</v>
      </c>
    </row>
    <row r="40" spans="1:17" s="3" customFormat="1" x14ac:dyDescent="0.25">
      <c r="A40" s="66"/>
      <c r="B40" s="11" t="s">
        <v>34</v>
      </c>
      <c r="C40" s="48" t="s">
        <v>17</v>
      </c>
      <c r="D40" s="49"/>
      <c r="E40" s="54" t="s">
        <v>35</v>
      </c>
      <c r="F40" s="22"/>
      <c r="G40" s="72" t="s">
        <v>107</v>
      </c>
      <c r="H40" s="48"/>
      <c r="I40" s="68"/>
      <c r="J40" s="37"/>
      <c r="K40" s="26"/>
      <c r="L40" s="26"/>
      <c r="M40" s="62">
        <f t="shared" si="2"/>
        <v>0</v>
      </c>
      <c r="N40" s="40"/>
      <c r="O40" s="62"/>
      <c r="P40" s="62"/>
      <c r="Q40" s="69">
        <f t="shared" si="1"/>
        <v>0</v>
      </c>
    </row>
    <row r="41" spans="1:17" s="3" customFormat="1" x14ac:dyDescent="0.25">
      <c r="A41" s="66"/>
      <c r="B41" s="7" t="s">
        <v>36</v>
      </c>
      <c r="C41" s="48" t="s">
        <v>17</v>
      </c>
      <c r="D41" s="49"/>
      <c r="E41" s="54" t="s">
        <v>32</v>
      </c>
      <c r="F41" s="113" t="s">
        <v>225</v>
      </c>
      <c r="G41" s="23" t="s">
        <v>102</v>
      </c>
      <c r="H41" s="24"/>
      <c r="I41" s="25"/>
      <c r="J41" s="37"/>
      <c r="K41" s="26"/>
      <c r="L41" s="26"/>
      <c r="M41" s="62">
        <f t="shared" si="2"/>
        <v>0</v>
      </c>
      <c r="N41" s="40">
        <f>3</f>
        <v>3</v>
      </c>
      <c r="O41" s="28">
        <f>32725.68</f>
        <v>32725.68</v>
      </c>
      <c r="P41" s="28">
        <f>32725.68</f>
        <v>32725.68</v>
      </c>
      <c r="Q41" s="27">
        <f t="shared" si="1"/>
        <v>0</v>
      </c>
    </row>
    <row r="42" spans="1:17" s="3" customFormat="1" x14ac:dyDescent="0.25">
      <c r="A42" s="66"/>
      <c r="B42" s="7" t="s">
        <v>37</v>
      </c>
      <c r="C42" s="48" t="s">
        <v>17</v>
      </c>
      <c r="D42" s="49"/>
      <c r="E42" s="50" t="s">
        <v>20</v>
      </c>
      <c r="F42" s="51" t="s">
        <v>182</v>
      </c>
      <c r="G42" s="23" t="s">
        <v>102</v>
      </c>
      <c r="H42" s="24">
        <v>2</v>
      </c>
      <c r="I42" s="25"/>
      <c r="J42" s="37"/>
      <c r="K42" s="26"/>
      <c r="L42" s="26"/>
      <c r="M42" s="62">
        <f t="shared" si="2"/>
        <v>0</v>
      </c>
      <c r="N42" s="40">
        <f>1</f>
        <v>1</v>
      </c>
      <c r="O42" s="26">
        <f>9374.97</f>
        <v>9374.9699999999993</v>
      </c>
      <c r="P42" s="26">
        <f>9374.97</f>
        <v>9374.9699999999993</v>
      </c>
      <c r="Q42" s="27">
        <f t="shared" si="1"/>
        <v>0</v>
      </c>
    </row>
    <row r="43" spans="1:17" s="3" customFormat="1" x14ac:dyDescent="0.25">
      <c r="A43" s="66"/>
      <c r="B43" s="7" t="s">
        <v>37</v>
      </c>
      <c r="C43" s="48" t="s">
        <v>17</v>
      </c>
      <c r="D43" s="49"/>
      <c r="E43" s="50" t="s">
        <v>20</v>
      </c>
      <c r="F43" s="22"/>
      <c r="G43" s="67" t="s">
        <v>104</v>
      </c>
      <c r="H43" s="48"/>
      <c r="I43" s="68"/>
      <c r="J43" s="52"/>
      <c r="K43" s="26"/>
      <c r="L43" s="26"/>
      <c r="M43" s="62">
        <f t="shared" si="2"/>
        <v>0</v>
      </c>
      <c r="N43" s="40"/>
      <c r="O43" s="62"/>
      <c r="P43" s="62"/>
      <c r="Q43" s="69">
        <f t="shared" si="1"/>
        <v>0</v>
      </c>
    </row>
    <row r="44" spans="1:17" s="3" customFormat="1" x14ac:dyDescent="0.25">
      <c r="A44" s="66"/>
      <c r="B44" s="7" t="s">
        <v>37</v>
      </c>
      <c r="C44" s="48" t="s">
        <v>17</v>
      </c>
      <c r="D44" s="49"/>
      <c r="E44" s="50" t="s">
        <v>18</v>
      </c>
      <c r="F44" s="22"/>
      <c r="G44" s="67" t="s">
        <v>106</v>
      </c>
      <c r="H44" s="48"/>
      <c r="I44" s="68"/>
      <c r="J44" s="52"/>
      <c r="K44" s="26"/>
      <c r="L44" s="26"/>
      <c r="M44" s="62">
        <f t="shared" si="2"/>
        <v>0</v>
      </c>
      <c r="N44" s="40"/>
      <c r="O44" s="62"/>
      <c r="P44" s="62"/>
      <c r="Q44" s="69">
        <f t="shared" si="1"/>
        <v>0</v>
      </c>
    </row>
    <row r="45" spans="1:17" s="3" customFormat="1" x14ac:dyDescent="0.25">
      <c r="A45" s="66"/>
      <c r="B45" s="11" t="s">
        <v>38</v>
      </c>
      <c r="C45" s="48" t="s">
        <v>17</v>
      </c>
      <c r="D45" s="49"/>
      <c r="E45" s="50" t="s">
        <v>20</v>
      </c>
      <c r="F45" s="22"/>
      <c r="G45" s="67" t="s">
        <v>104</v>
      </c>
      <c r="H45" s="48"/>
      <c r="I45" s="68"/>
      <c r="J45" s="52"/>
      <c r="K45" s="26"/>
      <c r="L45" s="26"/>
      <c r="M45" s="62">
        <f t="shared" si="2"/>
        <v>0</v>
      </c>
      <c r="N45" s="40"/>
      <c r="O45" s="62"/>
      <c r="P45" s="62"/>
      <c r="Q45" s="69">
        <f t="shared" si="1"/>
        <v>0</v>
      </c>
    </row>
    <row r="46" spans="1:17" s="3" customFormat="1" x14ac:dyDescent="0.25">
      <c r="A46" s="66"/>
      <c r="B46" s="7" t="s">
        <v>39</v>
      </c>
      <c r="C46" s="48" t="s">
        <v>17</v>
      </c>
      <c r="D46" s="49"/>
      <c r="E46" s="54" t="s">
        <v>40</v>
      </c>
      <c r="F46" s="51" t="s">
        <v>183</v>
      </c>
      <c r="G46" s="23" t="s">
        <v>102</v>
      </c>
      <c r="H46" s="24"/>
      <c r="I46" s="25"/>
      <c r="J46" s="37"/>
      <c r="K46" s="26"/>
      <c r="L46" s="26"/>
      <c r="M46" s="62">
        <f t="shared" si="2"/>
        <v>0</v>
      </c>
      <c r="N46" s="40">
        <f>2+6</f>
        <v>8</v>
      </c>
      <c r="O46" s="26">
        <f>40749.07</f>
        <v>40749.07</v>
      </c>
      <c r="P46" s="26">
        <f>40749.07</f>
        <v>40749.07</v>
      </c>
      <c r="Q46" s="27">
        <f t="shared" si="1"/>
        <v>0</v>
      </c>
    </row>
    <row r="47" spans="1:17" s="3" customFormat="1" x14ac:dyDescent="0.25">
      <c r="A47" s="66"/>
      <c r="B47" s="7" t="s">
        <v>39</v>
      </c>
      <c r="C47" s="48" t="s">
        <v>17</v>
      </c>
      <c r="D47" s="49"/>
      <c r="E47" s="54" t="s">
        <v>40</v>
      </c>
      <c r="F47" s="22"/>
      <c r="G47" s="67" t="s">
        <v>104</v>
      </c>
      <c r="H47" s="48"/>
      <c r="I47" s="68"/>
      <c r="J47" s="52"/>
      <c r="K47" s="26"/>
      <c r="L47" s="26"/>
      <c r="M47" s="62">
        <f t="shared" si="2"/>
        <v>0</v>
      </c>
      <c r="N47" s="40"/>
      <c r="O47" s="62"/>
      <c r="P47" s="62"/>
      <c r="Q47" s="69">
        <f t="shared" si="1"/>
        <v>0</v>
      </c>
    </row>
    <row r="48" spans="1:17" s="3" customFormat="1" x14ac:dyDescent="0.25">
      <c r="A48" s="66"/>
      <c r="B48" s="7" t="s">
        <v>123</v>
      </c>
      <c r="C48" s="48" t="s">
        <v>17</v>
      </c>
      <c r="D48" s="49"/>
      <c r="E48" s="50" t="s">
        <v>20</v>
      </c>
      <c r="F48" s="113" t="s">
        <v>226</v>
      </c>
      <c r="G48" s="23" t="s">
        <v>102</v>
      </c>
      <c r="H48" s="24">
        <v>2</v>
      </c>
      <c r="I48" s="29"/>
      <c r="J48" s="37"/>
      <c r="K48" s="26"/>
      <c r="L48" s="26"/>
      <c r="M48" s="62">
        <f t="shared" si="2"/>
        <v>0</v>
      </c>
      <c r="N48" s="40">
        <f>2</f>
        <v>2</v>
      </c>
      <c r="O48" s="28">
        <f>3426.63</f>
        <v>3426.63</v>
      </c>
      <c r="P48" s="28">
        <f>3426.63</f>
        <v>3426.63</v>
      </c>
      <c r="Q48" s="27">
        <f t="shared" si="1"/>
        <v>0</v>
      </c>
    </row>
    <row r="49" spans="1:20" s="3" customFormat="1" x14ac:dyDescent="0.25">
      <c r="A49" s="66"/>
      <c r="B49" s="7" t="s">
        <v>123</v>
      </c>
      <c r="C49" s="48" t="s">
        <v>17</v>
      </c>
      <c r="D49" s="49"/>
      <c r="E49" s="54" t="s">
        <v>32</v>
      </c>
      <c r="F49" s="22"/>
      <c r="G49" s="67" t="s">
        <v>107</v>
      </c>
      <c r="H49" s="48"/>
      <c r="I49" s="68"/>
      <c r="J49" s="37"/>
      <c r="K49" s="26"/>
      <c r="L49" s="26"/>
      <c r="M49" s="62">
        <f t="shared" si="2"/>
        <v>0</v>
      </c>
      <c r="N49" s="40">
        <v>1</v>
      </c>
      <c r="O49" s="62"/>
      <c r="P49" s="62"/>
      <c r="Q49" s="69">
        <f t="shared" si="1"/>
        <v>0</v>
      </c>
    </row>
    <row r="50" spans="1:20" s="3" customFormat="1" x14ac:dyDescent="0.25">
      <c r="A50" s="66"/>
      <c r="B50" s="8" t="s">
        <v>41</v>
      </c>
      <c r="C50" s="48" t="s">
        <v>17</v>
      </c>
      <c r="D50" s="49"/>
      <c r="E50" s="50" t="s">
        <v>23</v>
      </c>
      <c r="F50" s="22"/>
      <c r="G50" s="23" t="s">
        <v>102</v>
      </c>
      <c r="H50" s="24"/>
      <c r="I50" s="25"/>
      <c r="J50" s="37"/>
      <c r="K50" s="26"/>
      <c r="L50" s="26"/>
      <c r="M50" s="62">
        <f t="shared" si="2"/>
        <v>0</v>
      </c>
      <c r="N50" s="40"/>
      <c r="O50" s="28"/>
      <c r="P50" s="28"/>
      <c r="Q50" s="27">
        <f t="shared" si="1"/>
        <v>0</v>
      </c>
    </row>
    <row r="51" spans="1:20" s="3" customFormat="1" x14ac:dyDescent="0.25">
      <c r="A51" s="66"/>
      <c r="B51" s="8" t="s">
        <v>41</v>
      </c>
      <c r="C51" s="48" t="s">
        <v>17</v>
      </c>
      <c r="D51" s="49"/>
      <c r="E51" s="50" t="s">
        <v>23</v>
      </c>
      <c r="F51" s="22"/>
      <c r="G51" s="67" t="s">
        <v>108</v>
      </c>
      <c r="H51" s="48"/>
      <c r="I51" s="68"/>
      <c r="J51" s="37"/>
      <c r="K51" s="26"/>
      <c r="L51" s="26"/>
      <c r="M51" s="62">
        <f t="shared" si="2"/>
        <v>0</v>
      </c>
      <c r="N51" s="40"/>
      <c r="O51" s="62"/>
      <c r="P51" s="62"/>
      <c r="Q51" s="69">
        <f t="shared" si="1"/>
        <v>0</v>
      </c>
      <c r="T51" s="106"/>
    </row>
    <row r="52" spans="1:20" s="3" customFormat="1" x14ac:dyDescent="0.25">
      <c r="A52" s="66"/>
      <c r="B52" s="8" t="s">
        <v>134</v>
      </c>
      <c r="C52" s="48" t="s">
        <v>17</v>
      </c>
      <c r="D52" s="49"/>
      <c r="E52" s="67" t="s">
        <v>108</v>
      </c>
      <c r="F52" s="22"/>
      <c r="G52" s="23" t="s">
        <v>102</v>
      </c>
      <c r="H52" s="24"/>
      <c r="I52" s="25"/>
      <c r="J52" s="37"/>
      <c r="K52" s="26"/>
      <c r="L52" s="26"/>
      <c r="M52" s="62">
        <f t="shared" si="2"/>
        <v>0</v>
      </c>
      <c r="N52" s="40"/>
      <c r="O52" s="28"/>
      <c r="P52" s="28"/>
      <c r="Q52" s="27">
        <f t="shared" si="1"/>
        <v>0</v>
      </c>
    </row>
    <row r="53" spans="1:20" s="3" customFormat="1" x14ac:dyDescent="0.25">
      <c r="A53" s="66"/>
      <c r="B53" s="11" t="s">
        <v>118</v>
      </c>
      <c r="C53" s="48" t="s">
        <v>62</v>
      </c>
      <c r="D53" s="49" t="s">
        <v>151</v>
      </c>
      <c r="E53" s="50" t="s">
        <v>20</v>
      </c>
      <c r="F53" s="22"/>
      <c r="G53" s="67" t="s">
        <v>104</v>
      </c>
      <c r="H53" s="48">
        <v>1</v>
      </c>
      <c r="I53" s="71"/>
      <c r="J53" s="52"/>
      <c r="K53" s="53"/>
      <c r="L53" s="53"/>
      <c r="M53" s="62">
        <f t="shared" si="2"/>
        <v>0</v>
      </c>
      <c r="N53" s="43"/>
      <c r="O53" s="62"/>
      <c r="P53" s="62"/>
      <c r="Q53" s="69">
        <f t="shared" si="1"/>
        <v>0</v>
      </c>
    </row>
    <row r="54" spans="1:20" s="3" customFormat="1" x14ac:dyDescent="0.25">
      <c r="A54" s="66"/>
      <c r="B54" s="8" t="s">
        <v>133</v>
      </c>
      <c r="C54" s="48" t="s">
        <v>17</v>
      </c>
      <c r="D54" s="49"/>
      <c r="E54" s="54" t="s">
        <v>32</v>
      </c>
      <c r="F54" s="22"/>
      <c r="G54" s="67" t="s">
        <v>107</v>
      </c>
      <c r="H54" s="48">
        <v>1</v>
      </c>
      <c r="I54" s="71"/>
      <c r="J54" s="52"/>
      <c r="K54" s="53"/>
      <c r="L54" s="53"/>
      <c r="M54" s="62">
        <f t="shared" si="2"/>
        <v>0</v>
      </c>
      <c r="N54" s="43"/>
      <c r="O54" s="62"/>
      <c r="P54" s="62"/>
      <c r="Q54" s="69">
        <f t="shared" si="1"/>
        <v>0</v>
      </c>
    </row>
    <row r="55" spans="1:20" s="4" customFormat="1" x14ac:dyDescent="0.25">
      <c r="A55" s="66"/>
      <c r="B55" s="11" t="s">
        <v>42</v>
      </c>
      <c r="C55" s="48" t="s">
        <v>17</v>
      </c>
      <c r="D55" s="49"/>
      <c r="E55" s="50" t="s">
        <v>18</v>
      </c>
      <c r="F55" s="115" t="s">
        <v>251</v>
      </c>
      <c r="G55" s="23" t="s">
        <v>102</v>
      </c>
      <c r="H55" s="24">
        <v>3</v>
      </c>
      <c r="I55" s="25"/>
      <c r="J55" s="37"/>
      <c r="K55" s="26"/>
      <c r="L55" s="26"/>
      <c r="M55" s="62">
        <f t="shared" si="2"/>
        <v>0</v>
      </c>
      <c r="N55" s="40"/>
      <c r="O55" s="28"/>
      <c r="P55" s="28"/>
      <c r="Q55" s="27">
        <f t="shared" si="1"/>
        <v>0</v>
      </c>
    </row>
    <row r="56" spans="1:20" s="4" customFormat="1" ht="30" x14ac:dyDescent="0.25">
      <c r="A56" s="66"/>
      <c r="B56" s="11" t="s">
        <v>42</v>
      </c>
      <c r="C56" s="48" t="s">
        <v>135</v>
      </c>
      <c r="D56" s="49" t="s">
        <v>153</v>
      </c>
      <c r="E56" s="50" t="s">
        <v>18</v>
      </c>
      <c r="F56" s="22" t="s">
        <v>269</v>
      </c>
      <c r="G56" s="80" t="s">
        <v>106</v>
      </c>
      <c r="H56" s="48">
        <v>1</v>
      </c>
      <c r="I56" s="71"/>
      <c r="J56" s="38"/>
      <c r="K56" s="26"/>
      <c r="L56" s="26"/>
      <c r="M56" s="62">
        <f t="shared" si="2"/>
        <v>0</v>
      </c>
      <c r="N56" s="43">
        <v>4</v>
      </c>
      <c r="O56" s="62"/>
      <c r="P56" s="62"/>
      <c r="Q56" s="69">
        <f t="shared" si="1"/>
        <v>0</v>
      </c>
    </row>
    <row r="57" spans="1:20" s="3" customFormat="1" x14ac:dyDescent="0.25">
      <c r="A57" s="66"/>
      <c r="B57" s="8" t="s">
        <v>43</v>
      </c>
      <c r="C57" s="48" t="s">
        <v>17</v>
      </c>
      <c r="D57" s="49"/>
      <c r="E57" s="50" t="s">
        <v>20</v>
      </c>
      <c r="F57" s="51" t="s">
        <v>184</v>
      </c>
      <c r="G57" s="23" t="s">
        <v>102</v>
      </c>
      <c r="H57" s="24">
        <v>2</v>
      </c>
      <c r="I57" s="25"/>
      <c r="J57" s="37"/>
      <c r="K57" s="26"/>
      <c r="L57" s="26"/>
      <c r="M57" s="62">
        <f t="shared" si="2"/>
        <v>0</v>
      </c>
      <c r="N57" s="40">
        <f>1+1</f>
        <v>2</v>
      </c>
      <c r="O57" s="26">
        <f>6507.74</f>
        <v>6507.74</v>
      </c>
      <c r="P57" s="26">
        <f>6507.74</f>
        <v>6507.74</v>
      </c>
      <c r="Q57" s="27">
        <f t="shared" si="1"/>
        <v>0</v>
      </c>
    </row>
    <row r="58" spans="1:20" s="3" customFormat="1" x14ac:dyDescent="0.25">
      <c r="A58" s="66"/>
      <c r="B58" s="8" t="s">
        <v>43</v>
      </c>
      <c r="C58" s="48" t="s">
        <v>17</v>
      </c>
      <c r="D58" s="49"/>
      <c r="E58" s="50" t="s">
        <v>20</v>
      </c>
      <c r="F58" s="22"/>
      <c r="G58" s="67" t="s">
        <v>104</v>
      </c>
      <c r="H58" s="48"/>
      <c r="I58" s="68"/>
      <c r="J58" s="52"/>
      <c r="K58" s="26"/>
      <c r="L58" s="26"/>
      <c r="M58" s="62">
        <f t="shared" si="2"/>
        <v>0</v>
      </c>
      <c r="N58" s="40"/>
      <c r="O58" s="62"/>
      <c r="P58" s="62"/>
      <c r="Q58" s="69">
        <f t="shared" si="1"/>
        <v>0</v>
      </c>
    </row>
    <row r="59" spans="1:20" s="3" customFormat="1" x14ac:dyDescent="0.25">
      <c r="A59" s="66"/>
      <c r="B59" s="8" t="s">
        <v>159</v>
      </c>
      <c r="C59" s="48" t="s">
        <v>17</v>
      </c>
      <c r="D59" s="49"/>
      <c r="E59" s="50" t="s">
        <v>20</v>
      </c>
      <c r="F59" s="22"/>
      <c r="G59" s="67" t="s">
        <v>102</v>
      </c>
      <c r="H59" s="48"/>
      <c r="I59" s="68"/>
      <c r="J59" s="52"/>
      <c r="K59" s="26"/>
      <c r="L59" s="26"/>
      <c r="M59" s="62">
        <f t="shared" si="2"/>
        <v>0</v>
      </c>
      <c r="N59" s="40"/>
      <c r="O59" s="62"/>
      <c r="P59" s="62"/>
      <c r="Q59" s="27">
        <f t="shared" si="1"/>
        <v>0</v>
      </c>
    </row>
    <row r="60" spans="1:20" s="3" customFormat="1" x14ac:dyDescent="0.25">
      <c r="A60" s="66"/>
      <c r="B60" s="7" t="s">
        <v>44</v>
      </c>
      <c r="C60" s="48" t="s">
        <v>17</v>
      </c>
      <c r="D60" s="49"/>
      <c r="E60" s="50" t="s">
        <v>20</v>
      </c>
      <c r="F60" s="22"/>
      <c r="G60" s="23" t="s">
        <v>102</v>
      </c>
      <c r="H60" s="24"/>
      <c r="I60" s="25"/>
      <c r="J60" s="37"/>
      <c r="K60" s="26"/>
      <c r="L60" s="26"/>
      <c r="M60" s="62">
        <f t="shared" si="2"/>
        <v>0</v>
      </c>
      <c r="N60" s="40"/>
      <c r="O60" s="28"/>
      <c r="P60" s="28"/>
      <c r="Q60" s="27">
        <f t="shared" si="1"/>
        <v>0</v>
      </c>
    </row>
    <row r="61" spans="1:20" s="3" customFormat="1" x14ac:dyDescent="0.25">
      <c r="A61" s="66"/>
      <c r="B61" s="7" t="s">
        <v>44</v>
      </c>
      <c r="C61" s="48" t="s">
        <v>17</v>
      </c>
      <c r="D61" s="49"/>
      <c r="E61" s="50" t="s">
        <v>20</v>
      </c>
      <c r="F61" s="22"/>
      <c r="G61" s="67" t="s">
        <v>104</v>
      </c>
      <c r="H61" s="48"/>
      <c r="I61" s="68"/>
      <c r="J61" s="52"/>
      <c r="K61" s="26"/>
      <c r="L61" s="26"/>
      <c r="M61" s="62">
        <f t="shared" si="2"/>
        <v>0</v>
      </c>
      <c r="N61" s="40"/>
      <c r="O61" s="62"/>
      <c r="P61" s="62"/>
      <c r="Q61" s="69">
        <f t="shared" si="1"/>
        <v>0</v>
      </c>
    </row>
    <row r="62" spans="1:20" s="4" customFormat="1" x14ac:dyDescent="0.25">
      <c r="A62" s="66"/>
      <c r="B62" s="7" t="s">
        <v>45</v>
      </c>
      <c r="C62" s="48" t="s">
        <v>17</v>
      </c>
      <c r="D62" s="49"/>
      <c r="E62" s="50" t="s">
        <v>20</v>
      </c>
      <c r="F62" s="51" t="s">
        <v>185</v>
      </c>
      <c r="G62" s="23" t="s">
        <v>102</v>
      </c>
      <c r="H62" s="24">
        <v>3</v>
      </c>
      <c r="I62" s="25">
        <v>2</v>
      </c>
      <c r="J62" s="37">
        <f>2</f>
        <v>2</v>
      </c>
      <c r="K62" s="26">
        <f>2566.54</f>
        <v>2566.54</v>
      </c>
      <c r="L62" s="26">
        <f>2566.54</f>
        <v>2566.54</v>
      </c>
      <c r="M62" s="62">
        <f t="shared" si="2"/>
        <v>0</v>
      </c>
      <c r="N62" s="40">
        <f>4+2</f>
        <v>6</v>
      </c>
      <c r="O62" s="28">
        <f>32270.23-11141.43</f>
        <v>21128.799999999999</v>
      </c>
      <c r="P62" s="28">
        <f>32270.23-11141.43</f>
        <v>21128.799999999999</v>
      </c>
      <c r="Q62" s="27">
        <f t="shared" si="1"/>
        <v>0</v>
      </c>
    </row>
    <row r="63" spans="1:20" s="4" customFormat="1" x14ac:dyDescent="0.25">
      <c r="A63" s="66"/>
      <c r="B63" s="7" t="s">
        <v>45</v>
      </c>
      <c r="C63" s="48" t="s">
        <v>17</v>
      </c>
      <c r="D63" s="49"/>
      <c r="E63" s="50" t="s">
        <v>20</v>
      </c>
      <c r="F63" s="22"/>
      <c r="G63" s="67" t="s">
        <v>104</v>
      </c>
      <c r="H63" s="48">
        <v>1</v>
      </c>
      <c r="I63" s="68"/>
      <c r="J63" s="52"/>
      <c r="K63" s="26"/>
      <c r="L63" s="26"/>
      <c r="M63" s="62">
        <f t="shared" si="2"/>
        <v>0</v>
      </c>
      <c r="N63" s="40"/>
      <c r="O63" s="62"/>
      <c r="P63" s="62"/>
      <c r="Q63" s="69">
        <f t="shared" si="1"/>
        <v>0</v>
      </c>
    </row>
    <row r="64" spans="1:20" s="3" customFormat="1" ht="45" x14ac:dyDescent="0.25">
      <c r="A64" s="66"/>
      <c r="B64" s="8" t="s">
        <v>46</v>
      </c>
      <c r="C64" s="48" t="s">
        <v>135</v>
      </c>
      <c r="D64" s="49" t="s">
        <v>154</v>
      </c>
      <c r="E64" s="50" t="s">
        <v>18</v>
      </c>
      <c r="F64" s="114" t="s">
        <v>241</v>
      </c>
      <c r="G64" s="7" t="s">
        <v>102</v>
      </c>
      <c r="H64" s="24">
        <v>4</v>
      </c>
      <c r="I64" s="25"/>
      <c r="J64" s="38"/>
      <c r="K64" s="26"/>
      <c r="L64" s="26"/>
      <c r="M64" s="62">
        <f t="shared" si="2"/>
        <v>0</v>
      </c>
      <c r="N64" s="40"/>
      <c r="O64" s="28"/>
      <c r="P64" s="28"/>
      <c r="Q64" s="27">
        <f t="shared" si="1"/>
        <v>0</v>
      </c>
    </row>
    <row r="65" spans="1:20" s="3" customFormat="1" ht="45" x14ac:dyDescent="0.25">
      <c r="A65" s="66">
        <v>22</v>
      </c>
      <c r="B65" s="11" t="s">
        <v>109</v>
      </c>
      <c r="C65" s="48" t="s">
        <v>135</v>
      </c>
      <c r="D65" s="49" t="s">
        <v>154</v>
      </c>
      <c r="E65" s="50" t="s">
        <v>18</v>
      </c>
      <c r="F65" s="22" t="s">
        <v>270</v>
      </c>
      <c r="G65" s="67" t="s">
        <v>106</v>
      </c>
      <c r="H65" s="48">
        <v>2</v>
      </c>
      <c r="I65" s="71">
        <v>1</v>
      </c>
      <c r="J65" s="38">
        <v>1</v>
      </c>
      <c r="K65" s="26"/>
      <c r="L65" s="26"/>
      <c r="M65" s="62">
        <f t="shared" si="2"/>
        <v>0</v>
      </c>
      <c r="N65" s="40">
        <v>4</v>
      </c>
      <c r="O65" s="62"/>
      <c r="P65" s="62"/>
      <c r="Q65" s="69">
        <f t="shared" si="1"/>
        <v>0</v>
      </c>
    </row>
    <row r="66" spans="1:20" s="3" customFormat="1" x14ac:dyDescent="0.25">
      <c r="A66" s="66"/>
      <c r="B66" s="8" t="s">
        <v>114</v>
      </c>
      <c r="C66" s="48" t="s">
        <v>17</v>
      </c>
      <c r="D66" s="49"/>
      <c r="E66" s="50" t="s">
        <v>20</v>
      </c>
      <c r="F66" s="51" t="s">
        <v>186</v>
      </c>
      <c r="G66" s="23" t="s">
        <v>102</v>
      </c>
      <c r="H66" s="24"/>
      <c r="I66" s="25"/>
      <c r="J66" s="37"/>
      <c r="K66" s="26"/>
      <c r="L66" s="26"/>
      <c r="M66" s="62">
        <f t="shared" si="2"/>
        <v>0</v>
      </c>
      <c r="N66" s="40"/>
      <c r="O66" s="28"/>
      <c r="P66" s="28"/>
      <c r="Q66" s="27">
        <f t="shared" si="1"/>
        <v>0</v>
      </c>
    </row>
    <row r="67" spans="1:20" s="3" customFormat="1" x14ac:dyDescent="0.25">
      <c r="A67" s="66"/>
      <c r="B67" s="8" t="s">
        <v>114</v>
      </c>
      <c r="C67" s="48" t="s">
        <v>17</v>
      </c>
      <c r="D67" s="49"/>
      <c r="E67" s="50" t="s">
        <v>20</v>
      </c>
      <c r="F67" s="22"/>
      <c r="G67" s="67" t="s">
        <v>104</v>
      </c>
      <c r="H67" s="48">
        <v>4</v>
      </c>
      <c r="I67" s="68"/>
      <c r="J67" s="52"/>
      <c r="K67" s="26"/>
      <c r="L67" s="26"/>
      <c r="M67" s="62">
        <f t="shared" si="2"/>
        <v>0</v>
      </c>
      <c r="N67" s="40"/>
      <c r="O67" s="62"/>
      <c r="P67" s="62"/>
      <c r="Q67" s="69">
        <f t="shared" si="1"/>
        <v>0</v>
      </c>
    </row>
    <row r="68" spans="1:20" s="3" customFormat="1" x14ac:dyDescent="0.25">
      <c r="A68" s="66"/>
      <c r="B68" s="11" t="s">
        <v>47</v>
      </c>
      <c r="C68" s="48" t="s">
        <v>17</v>
      </c>
      <c r="D68" s="49"/>
      <c r="E68" s="50" t="s">
        <v>20</v>
      </c>
      <c r="F68" s="51" t="s">
        <v>187</v>
      </c>
      <c r="G68" s="23" t="s">
        <v>102</v>
      </c>
      <c r="H68" s="24">
        <v>5</v>
      </c>
      <c r="I68" s="25">
        <v>1</v>
      </c>
      <c r="J68" s="37">
        <f>1</f>
        <v>1</v>
      </c>
      <c r="K68" s="26">
        <f>924.88</f>
        <v>924.88</v>
      </c>
      <c r="L68" s="26">
        <f>924.88</f>
        <v>924.88</v>
      </c>
      <c r="M68" s="62">
        <f t="shared" si="2"/>
        <v>0</v>
      </c>
      <c r="N68" s="40">
        <f>2+2</f>
        <v>4</v>
      </c>
      <c r="O68" s="28">
        <f>34941.24</f>
        <v>34941.24</v>
      </c>
      <c r="P68" s="28">
        <f>34941.24</f>
        <v>34941.24</v>
      </c>
      <c r="Q68" s="27">
        <f t="shared" si="1"/>
        <v>0</v>
      </c>
    </row>
    <row r="69" spans="1:20" s="3" customFormat="1" x14ac:dyDescent="0.25">
      <c r="A69" s="66"/>
      <c r="B69" s="11" t="s">
        <v>48</v>
      </c>
      <c r="C69" s="48" t="s">
        <v>17</v>
      </c>
      <c r="D69" s="49"/>
      <c r="E69" s="50" t="s">
        <v>49</v>
      </c>
      <c r="F69" s="51" t="s">
        <v>188</v>
      </c>
      <c r="G69" s="23" t="s">
        <v>102</v>
      </c>
      <c r="H69" s="24">
        <v>1</v>
      </c>
      <c r="I69" s="25"/>
      <c r="J69" s="37"/>
      <c r="K69" s="26"/>
      <c r="L69" s="26"/>
      <c r="M69" s="62">
        <f t="shared" si="2"/>
        <v>0</v>
      </c>
      <c r="N69" s="40">
        <f>5</f>
        <v>5</v>
      </c>
      <c r="O69" s="26">
        <f>15947.42</f>
        <v>15947.42</v>
      </c>
      <c r="P69" s="26">
        <f>15947.42</f>
        <v>15947.42</v>
      </c>
      <c r="Q69" s="69">
        <f t="shared" si="1"/>
        <v>0</v>
      </c>
    </row>
    <row r="70" spans="1:20" s="3" customFormat="1" x14ac:dyDescent="0.25">
      <c r="A70" s="66"/>
      <c r="B70" s="11" t="s">
        <v>48</v>
      </c>
      <c r="C70" s="48" t="s">
        <v>17</v>
      </c>
      <c r="D70" s="49"/>
      <c r="E70" s="50" t="s">
        <v>49</v>
      </c>
      <c r="F70" s="22"/>
      <c r="G70" s="67" t="s">
        <v>105</v>
      </c>
      <c r="H70" s="48">
        <v>1</v>
      </c>
      <c r="I70" s="68"/>
      <c r="J70" s="37"/>
      <c r="K70" s="26"/>
      <c r="L70" s="26"/>
      <c r="M70" s="62">
        <f t="shared" si="2"/>
        <v>0</v>
      </c>
      <c r="N70" s="40">
        <f>1</f>
        <v>1</v>
      </c>
      <c r="O70" s="62">
        <v>6516.2</v>
      </c>
      <c r="P70" s="62">
        <v>6516.2</v>
      </c>
      <c r="Q70" s="27">
        <f t="shared" si="1"/>
        <v>0</v>
      </c>
    </row>
    <row r="71" spans="1:20" s="3" customFormat="1" x14ac:dyDescent="0.25">
      <c r="A71" s="66"/>
      <c r="B71" s="7" t="s">
        <v>50</v>
      </c>
      <c r="C71" s="48" t="s">
        <v>17</v>
      </c>
      <c r="D71" s="49"/>
      <c r="E71" s="50" t="s">
        <v>20</v>
      </c>
      <c r="F71" s="22"/>
      <c r="G71" s="23" t="s">
        <v>102</v>
      </c>
      <c r="H71" s="24"/>
      <c r="I71" s="25"/>
      <c r="J71" s="37"/>
      <c r="K71" s="26"/>
      <c r="L71" s="26"/>
      <c r="M71" s="62">
        <f t="shared" si="2"/>
        <v>0</v>
      </c>
      <c r="N71" s="40"/>
      <c r="O71" s="28"/>
      <c r="P71" s="28"/>
      <c r="Q71" s="69">
        <f t="shared" si="1"/>
        <v>0</v>
      </c>
    </row>
    <row r="72" spans="1:20" s="3" customFormat="1" x14ac:dyDescent="0.25">
      <c r="A72" s="66"/>
      <c r="B72" s="7" t="s">
        <v>50</v>
      </c>
      <c r="C72" s="48" t="s">
        <v>17</v>
      </c>
      <c r="D72" s="49"/>
      <c r="E72" s="50" t="s">
        <v>20</v>
      </c>
      <c r="F72" s="22"/>
      <c r="G72" s="67" t="s">
        <v>104</v>
      </c>
      <c r="H72" s="48"/>
      <c r="I72" s="68"/>
      <c r="J72" s="52"/>
      <c r="K72" s="26"/>
      <c r="L72" s="26"/>
      <c r="M72" s="62">
        <f t="shared" si="2"/>
        <v>0</v>
      </c>
      <c r="N72" s="40"/>
      <c r="O72" s="62"/>
      <c r="P72" s="62"/>
      <c r="Q72" s="69">
        <f t="shared" si="1"/>
        <v>0</v>
      </c>
    </row>
    <row r="73" spans="1:20" s="3" customFormat="1" x14ac:dyDescent="0.25">
      <c r="A73" s="66"/>
      <c r="B73" s="11" t="s">
        <v>51</v>
      </c>
      <c r="C73" s="48" t="s">
        <v>17</v>
      </c>
      <c r="D73" s="49"/>
      <c r="E73" s="50" t="s">
        <v>20</v>
      </c>
      <c r="F73" s="51" t="s">
        <v>189</v>
      </c>
      <c r="G73" s="23" t="s">
        <v>102</v>
      </c>
      <c r="H73" s="24"/>
      <c r="I73" s="25"/>
      <c r="J73" s="37"/>
      <c r="K73" s="26"/>
      <c r="L73" s="26"/>
      <c r="M73" s="62">
        <f t="shared" si="2"/>
        <v>0</v>
      </c>
      <c r="N73" s="40">
        <f>1+1</f>
        <v>2</v>
      </c>
      <c r="O73" s="26">
        <f>2426.81</f>
        <v>2426.81</v>
      </c>
      <c r="P73" s="26">
        <f>2426.81</f>
        <v>2426.81</v>
      </c>
      <c r="Q73" s="69">
        <f t="shared" si="1"/>
        <v>0</v>
      </c>
    </row>
    <row r="74" spans="1:20" s="3" customFormat="1" x14ac:dyDescent="0.25">
      <c r="A74" s="66"/>
      <c r="B74" s="11" t="s">
        <v>51</v>
      </c>
      <c r="C74" s="48" t="s">
        <v>17</v>
      </c>
      <c r="D74" s="49"/>
      <c r="E74" s="50" t="s">
        <v>20</v>
      </c>
      <c r="F74" s="22"/>
      <c r="G74" s="67" t="s">
        <v>104</v>
      </c>
      <c r="H74" s="48">
        <v>2</v>
      </c>
      <c r="I74" s="68"/>
      <c r="J74" s="52"/>
      <c r="K74" s="26"/>
      <c r="L74" s="26"/>
      <c r="M74" s="62">
        <f t="shared" si="2"/>
        <v>0</v>
      </c>
      <c r="N74" s="40">
        <f>2</f>
        <v>2</v>
      </c>
      <c r="O74" s="79"/>
      <c r="P74" s="79"/>
      <c r="Q74" s="69">
        <f t="shared" si="1"/>
        <v>0</v>
      </c>
    </row>
    <row r="75" spans="1:20" s="3" customFormat="1" x14ac:dyDescent="0.25">
      <c r="A75" s="66"/>
      <c r="B75" s="7" t="s">
        <v>52</v>
      </c>
      <c r="C75" s="48" t="s">
        <v>17</v>
      </c>
      <c r="D75" s="49"/>
      <c r="E75" s="50" t="s">
        <v>20</v>
      </c>
      <c r="F75" s="51" t="s">
        <v>190</v>
      </c>
      <c r="G75" s="23" t="s">
        <v>102</v>
      </c>
      <c r="H75" s="24"/>
      <c r="I75" s="25"/>
      <c r="J75" s="37"/>
      <c r="K75" s="26"/>
      <c r="L75" s="26"/>
      <c r="M75" s="62">
        <f t="shared" si="2"/>
        <v>0</v>
      </c>
      <c r="N75" s="40">
        <f>3+1</f>
        <v>4</v>
      </c>
      <c r="O75" s="26">
        <f>1581.28+420.4</f>
        <v>2001.6799999999998</v>
      </c>
      <c r="P75" s="26">
        <f>1581.28+420.4</f>
        <v>2001.6799999999998</v>
      </c>
      <c r="Q75" s="69">
        <f t="shared" si="1"/>
        <v>0</v>
      </c>
    </row>
    <row r="76" spans="1:20" s="3" customFormat="1" x14ac:dyDescent="0.25">
      <c r="A76" s="66"/>
      <c r="B76" s="7" t="s">
        <v>124</v>
      </c>
      <c r="C76" s="48" t="s">
        <v>17</v>
      </c>
      <c r="D76" s="49"/>
      <c r="E76" s="50" t="s">
        <v>145</v>
      </c>
      <c r="F76" s="51" t="s">
        <v>256</v>
      </c>
      <c r="G76" s="23" t="s">
        <v>102</v>
      </c>
      <c r="H76" s="24">
        <v>2</v>
      </c>
      <c r="I76" s="25"/>
      <c r="J76" s="37"/>
      <c r="K76" s="26"/>
      <c r="L76" s="26"/>
      <c r="M76" s="62">
        <f t="shared" ref="M76:M139" si="3">K76-L76</f>
        <v>0</v>
      </c>
      <c r="N76" s="40">
        <f>1</f>
        <v>1</v>
      </c>
      <c r="O76" s="28">
        <f>419.4</f>
        <v>419.4</v>
      </c>
      <c r="P76" s="28">
        <f>419.4</f>
        <v>419.4</v>
      </c>
      <c r="Q76" s="27">
        <f t="shared" si="1"/>
        <v>0</v>
      </c>
    </row>
    <row r="77" spans="1:20" s="3" customFormat="1" x14ac:dyDescent="0.25">
      <c r="A77" s="66"/>
      <c r="B77" s="7" t="s">
        <v>124</v>
      </c>
      <c r="C77" s="48" t="s">
        <v>17</v>
      </c>
      <c r="D77" s="49"/>
      <c r="E77" s="50" t="s">
        <v>145</v>
      </c>
      <c r="F77" s="22" t="s">
        <v>262</v>
      </c>
      <c r="G77" s="67" t="s">
        <v>108</v>
      </c>
      <c r="H77" s="48">
        <v>1</v>
      </c>
      <c r="I77" s="71"/>
      <c r="J77" s="52"/>
      <c r="K77" s="53"/>
      <c r="L77" s="53"/>
      <c r="M77" s="62">
        <f t="shared" si="3"/>
        <v>0</v>
      </c>
      <c r="N77" s="43"/>
      <c r="O77" s="62"/>
      <c r="P77" s="62"/>
      <c r="Q77" s="69">
        <f t="shared" si="1"/>
        <v>0</v>
      </c>
      <c r="T77" s="106"/>
    </row>
    <row r="78" spans="1:20" s="3" customFormat="1" x14ac:dyDescent="0.25">
      <c r="A78" s="66"/>
      <c r="B78" s="11" t="s">
        <v>101</v>
      </c>
      <c r="C78" s="48" t="s">
        <v>17</v>
      </c>
      <c r="D78" s="49"/>
      <c r="E78" s="54" t="s">
        <v>20</v>
      </c>
      <c r="F78" s="51" t="s">
        <v>191</v>
      </c>
      <c r="G78" s="23" t="s">
        <v>102</v>
      </c>
      <c r="H78" s="24">
        <v>2</v>
      </c>
      <c r="I78" s="25"/>
      <c r="J78" s="37"/>
      <c r="K78" s="26"/>
      <c r="L78" s="26"/>
      <c r="M78" s="62">
        <f t="shared" si="3"/>
        <v>0</v>
      </c>
      <c r="N78" s="40">
        <f>1+2+3</f>
        <v>6</v>
      </c>
      <c r="O78" s="26">
        <f>12426.98+1572.3</f>
        <v>13999.279999999999</v>
      </c>
      <c r="P78" s="26">
        <f>12426.98+1572.3</f>
        <v>13999.279999999999</v>
      </c>
      <c r="Q78" s="27">
        <f t="shared" si="1"/>
        <v>0</v>
      </c>
    </row>
    <row r="79" spans="1:20" s="3" customFormat="1" x14ac:dyDescent="0.25">
      <c r="A79" s="66"/>
      <c r="B79" s="8" t="s">
        <v>53</v>
      </c>
      <c r="C79" s="48" t="s">
        <v>17</v>
      </c>
      <c r="D79" s="49"/>
      <c r="E79" s="54" t="s">
        <v>20</v>
      </c>
      <c r="F79" s="51" t="s">
        <v>242</v>
      </c>
      <c r="G79" s="23" t="s">
        <v>102</v>
      </c>
      <c r="H79" s="24"/>
      <c r="I79" s="25"/>
      <c r="J79" s="37"/>
      <c r="K79" s="26"/>
      <c r="L79" s="26"/>
      <c r="M79" s="62">
        <f t="shared" si="3"/>
        <v>0</v>
      </c>
      <c r="N79" s="40"/>
      <c r="O79" s="28"/>
      <c r="P79" s="28"/>
      <c r="Q79" s="27">
        <f t="shared" si="1"/>
        <v>0</v>
      </c>
    </row>
    <row r="80" spans="1:20" s="3" customFormat="1" ht="30" x14ac:dyDescent="0.25">
      <c r="A80" s="66"/>
      <c r="B80" s="7" t="s">
        <v>54</v>
      </c>
      <c r="C80" s="48" t="s">
        <v>135</v>
      </c>
      <c r="D80" s="49" t="s">
        <v>148</v>
      </c>
      <c r="E80" s="50" t="s">
        <v>20</v>
      </c>
      <c r="F80" s="114" t="s">
        <v>192</v>
      </c>
      <c r="G80" s="23" t="s">
        <v>102</v>
      </c>
      <c r="H80" s="24">
        <v>2</v>
      </c>
      <c r="I80" s="25">
        <v>1</v>
      </c>
      <c r="J80" s="38">
        <f>1+1</f>
        <v>2</v>
      </c>
      <c r="K80" s="26">
        <f>3630.96</f>
        <v>3630.96</v>
      </c>
      <c r="L80" s="26">
        <f>3630.96</f>
        <v>3630.96</v>
      </c>
      <c r="M80" s="62">
        <f t="shared" si="3"/>
        <v>0</v>
      </c>
      <c r="N80" s="40">
        <f>5+1</f>
        <v>6</v>
      </c>
      <c r="O80" s="28">
        <f>10168.92</f>
        <v>10168.92</v>
      </c>
      <c r="P80" s="28">
        <f>10168.92</f>
        <v>10168.92</v>
      </c>
      <c r="Q80" s="69">
        <f t="shared" si="1"/>
        <v>0</v>
      </c>
    </row>
    <row r="81" spans="1:17" s="3" customFormat="1" ht="30" x14ac:dyDescent="0.25">
      <c r="A81" s="66"/>
      <c r="B81" s="8" t="s">
        <v>55</v>
      </c>
      <c r="C81" s="48" t="s">
        <v>17</v>
      </c>
      <c r="D81" s="49" t="s">
        <v>147</v>
      </c>
      <c r="E81" s="50" t="s">
        <v>18</v>
      </c>
      <c r="F81" s="115" t="s">
        <v>252</v>
      </c>
      <c r="G81" s="23" t="s">
        <v>102</v>
      </c>
      <c r="H81" s="24">
        <v>1</v>
      </c>
      <c r="I81" s="25"/>
      <c r="J81" s="37"/>
      <c r="K81" s="26"/>
      <c r="L81" s="26"/>
      <c r="M81" s="62">
        <f t="shared" si="3"/>
        <v>0</v>
      </c>
      <c r="N81" s="40"/>
      <c r="O81" s="28"/>
      <c r="P81" s="28"/>
      <c r="Q81" s="27">
        <f t="shared" si="1"/>
        <v>0</v>
      </c>
    </row>
    <row r="82" spans="1:17" s="3" customFormat="1" ht="30" x14ac:dyDescent="0.25">
      <c r="A82" s="66"/>
      <c r="B82" s="11" t="s">
        <v>55</v>
      </c>
      <c r="C82" s="48" t="s">
        <v>135</v>
      </c>
      <c r="D82" s="49" t="s">
        <v>147</v>
      </c>
      <c r="E82" s="50" t="s">
        <v>18</v>
      </c>
      <c r="F82" s="22" t="s">
        <v>271</v>
      </c>
      <c r="G82" s="96" t="s">
        <v>106</v>
      </c>
      <c r="H82" s="48">
        <v>3</v>
      </c>
      <c r="I82" s="71">
        <v>1</v>
      </c>
      <c r="J82" s="38">
        <v>1</v>
      </c>
      <c r="K82" s="26"/>
      <c r="L82" s="26"/>
      <c r="M82" s="62">
        <f t="shared" si="3"/>
        <v>0</v>
      </c>
      <c r="N82" s="40">
        <v>3</v>
      </c>
      <c r="O82" s="62"/>
      <c r="P82" s="62"/>
      <c r="Q82" s="69">
        <f t="shared" ref="Q82:Q148" si="4">O82-P82</f>
        <v>0</v>
      </c>
    </row>
    <row r="83" spans="1:17" s="3" customFormat="1" x14ac:dyDescent="0.25">
      <c r="A83" s="66"/>
      <c r="B83" s="11" t="s">
        <v>131</v>
      </c>
      <c r="C83" s="48" t="s">
        <v>135</v>
      </c>
      <c r="D83" s="49"/>
      <c r="E83" s="50" t="s">
        <v>20</v>
      </c>
      <c r="F83" s="22"/>
      <c r="G83" s="23" t="s">
        <v>102</v>
      </c>
      <c r="H83" s="24"/>
      <c r="I83" s="25"/>
      <c r="J83" s="37"/>
      <c r="K83" s="26"/>
      <c r="L83" s="26"/>
      <c r="M83" s="62">
        <f t="shared" si="3"/>
        <v>0</v>
      </c>
      <c r="N83" s="40">
        <f>1</f>
        <v>1</v>
      </c>
      <c r="O83" s="28"/>
      <c r="P83" s="28"/>
      <c r="Q83" s="27">
        <f t="shared" si="4"/>
        <v>0</v>
      </c>
    </row>
    <row r="84" spans="1:17" s="4" customFormat="1" x14ac:dyDescent="0.25">
      <c r="A84" s="66"/>
      <c r="B84" s="11" t="s">
        <v>56</v>
      </c>
      <c r="C84" s="48" t="s">
        <v>17</v>
      </c>
      <c r="D84" s="49"/>
      <c r="E84" s="50" t="s">
        <v>20</v>
      </c>
      <c r="F84" s="115" t="s">
        <v>253</v>
      </c>
      <c r="G84" s="23" t="s">
        <v>102</v>
      </c>
      <c r="H84" s="24">
        <v>1</v>
      </c>
      <c r="I84" s="25"/>
      <c r="J84" s="37"/>
      <c r="K84" s="26"/>
      <c r="L84" s="26"/>
      <c r="M84" s="62">
        <f t="shared" si="3"/>
        <v>0</v>
      </c>
      <c r="N84" s="40"/>
      <c r="O84" s="28"/>
      <c r="P84" s="28"/>
      <c r="Q84" s="69">
        <f t="shared" si="4"/>
        <v>0</v>
      </c>
    </row>
    <row r="85" spans="1:17" s="4" customFormat="1" x14ac:dyDescent="0.25">
      <c r="A85" s="66"/>
      <c r="B85" s="11" t="s">
        <v>56</v>
      </c>
      <c r="C85" s="48" t="s">
        <v>17</v>
      </c>
      <c r="D85" s="49"/>
      <c r="E85" s="50" t="s">
        <v>20</v>
      </c>
      <c r="F85" s="22"/>
      <c r="G85" s="67" t="s">
        <v>104</v>
      </c>
      <c r="H85" s="48">
        <v>9</v>
      </c>
      <c r="I85" s="68"/>
      <c r="J85" s="52"/>
      <c r="K85" s="26"/>
      <c r="L85" s="26"/>
      <c r="M85" s="62">
        <f t="shared" si="3"/>
        <v>0</v>
      </c>
      <c r="N85" s="40"/>
      <c r="O85" s="62"/>
      <c r="P85" s="62"/>
      <c r="Q85" s="69">
        <f t="shared" si="4"/>
        <v>0</v>
      </c>
    </row>
    <row r="86" spans="1:17" s="3" customFormat="1" x14ac:dyDescent="0.25">
      <c r="A86" s="66"/>
      <c r="B86" s="11" t="s">
        <v>57</v>
      </c>
      <c r="C86" s="48" t="s">
        <v>17</v>
      </c>
      <c r="D86" s="49"/>
      <c r="E86" s="50" t="s">
        <v>20</v>
      </c>
      <c r="F86" s="51" t="s">
        <v>254</v>
      </c>
      <c r="G86" s="23" t="s">
        <v>102</v>
      </c>
      <c r="H86" s="24"/>
      <c r="I86" s="25"/>
      <c r="J86" s="37"/>
      <c r="K86" s="26"/>
      <c r="L86" s="26"/>
      <c r="M86" s="62">
        <f t="shared" si="3"/>
        <v>0</v>
      </c>
      <c r="N86" s="40">
        <f>1+2</f>
        <v>3</v>
      </c>
      <c r="O86" s="28">
        <f>19395.81</f>
        <v>19395.810000000001</v>
      </c>
      <c r="P86" s="28">
        <f>19395.81</f>
        <v>19395.810000000001</v>
      </c>
      <c r="Q86" s="69">
        <f t="shared" si="4"/>
        <v>0</v>
      </c>
    </row>
    <row r="87" spans="1:17" s="3" customFormat="1" x14ac:dyDescent="0.25">
      <c r="A87" s="66"/>
      <c r="B87" s="11" t="s">
        <v>57</v>
      </c>
      <c r="C87" s="48" t="s">
        <v>17</v>
      </c>
      <c r="D87" s="49"/>
      <c r="E87" s="50" t="s">
        <v>20</v>
      </c>
      <c r="F87" s="22"/>
      <c r="G87" s="67" t="s">
        <v>104</v>
      </c>
      <c r="H87" s="48"/>
      <c r="I87" s="68"/>
      <c r="J87" s="52"/>
      <c r="K87" s="26"/>
      <c r="L87" s="26"/>
      <c r="M87" s="62">
        <f t="shared" si="3"/>
        <v>0</v>
      </c>
      <c r="N87" s="40"/>
      <c r="O87" s="62"/>
      <c r="P87" s="62"/>
      <c r="Q87" s="69">
        <f t="shared" si="4"/>
        <v>0</v>
      </c>
    </row>
    <row r="88" spans="1:17" s="3" customFormat="1" x14ac:dyDescent="0.25">
      <c r="A88" s="66"/>
      <c r="B88" s="11" t="s">
        <v>58</v>
      </c>
      <c r="C88" s="48" t="s">
        <v>17</v>
      </c>
      <c r="D88" s="49"/>
      <c r="E88" s="50" t="s">
        <v>20</v>
      </c>
      <c r="F88" s="51" t="s">
        <v>255</v>
      </c>
      <c r="G88" s="23" t="s">
        <v>102</v>
      </c>
      <c r="H88" s="24">
        <v>1</v>
      </c>
      <c r="I88" s="25"/>
      <c r="J88" s="37"/>
      <c r="K88" s="26"/>
      <c r="L88" s="26"/>
      <c r="M88" s="62">
        <f t="shared" si="3"/>
        <v>0</v>
      </c>
      <c r="N88" s="40"/>
      <c r="O88" s="28"/>
      <c r="P88" s="28"/>
      <c r="Q88" s="69">
        <f t="shared" si="4"/>
        <v>0</v>
      </c>
    </row>
    <row r="89" spans="1:17" s="3" customFormat="1" x14ac:dyDescent="0.25">
      <c r="A89" s="66"/>
      <c r="B89" s="11" t="s">
        <v>58</v>
      </c>
      <c r="C89" s="48" t="s">
        <v>17</v>
      </c>
      <c r="D89" s="49"/>
      <c r="E89" s="50" t="s">
        <v>20</v>
      </c>
      <c r="F89" s="22"/>
      <c r="G89" s="67" t="s">
        <v>104</v>
      </c>
      <c r="H89" s="48"/>
      <c r="I89" s="68"/>
      <c r="J89" s="52"/>
      <c r="K89" s="26"/>
      <c r="L89" s="26"/>
      <c r="M89" s="62">
        <f t="shared" si="3"/>
        <v>0</v>
      </c>
      <c r="N89" s="40"/>
      <c r="O89" s="62"/>
      <c r="P89" s="62"/>
      <c r="Q89" s="69">
        <f t="shared" si="4"/>
        <v>0</v>
      </c>
    </row>
    <row r="90" spans="1:17" s="3" customFormat="1" x14ac:dyDescent="0.25">
      <c r="A90" s="66"/>
      <c r="B90" s="7" t="s">
        <v>59</v>
      </c>
      <c r="C90" s="48" t="s">
        <v>17</v>
      </c>
      <c r="D90" s="49"/>
      <c r="E90" s="50" t="s">
        <v>20</v>
      </c>
      <c r="F90" s="51" t="s">
        <v>193</v>
      </c>
      <c r="G90" s="23" t="s">
        <v>102</v>
      </c>
      <c r="H90" s="24">
        <v>2</v>
      </c>
      <c r="I90" s="25"/>
      <c r="J90" s="37"/>
      <c r="K90" s="26"/>
      <c r="L90" s="26"/>
      <c r="M90" s="62">
        <f t="shared" si="3"/>
        <v>0</v>
      </c>
      <c r="N90" s="40">
        <f>1</f>
        <v>1</v>
      </c>
      <c r="O90" s="26">
        <f>4277.88</f>
        <v>4277.88</v>
      </c>
      <c r="P90" s="26">
        <f>4277.88</f>
        <v>4277.88</v>
      </c>
      <c r="Q90" s="69">
        <f t="shared" si="4"/>
        <v>0</v>
      </c>
    </row>
    <row r="91" spans="1:17" s="3" customFormat="1" x14ac:dyDescent="0.25">
      <c r="A91" s="66"/>
      <c r="B91" s="7" t="s">
        <v>59</v>
      </c>
      <c r="C91" s="48" t="s">
        <v>17</v>
      </c>
      <c r="D91" s="49"/>
      <c r="E91" s="50" t="s">
        <v>20</v>
      </c>
      <c r="F91" s="22"/>
      <c r="G91" s="67" t="s">
        <v>104</v>
      </c>
      <c r="H91" s="48">
        <v>5</v>
      </c>
      <c r="I91" s="68"/>
      <c r="J91" s="52"/>
      <c r="K91" s="26"/>
      <c r="L91" s="26"/>
      <c r="M91" s="62">
        <f t="shared" si="3"/>
        <v>0</v>
      </c>
      <c r="N91" s="40"/>
      <c r="O91" s="62"/>
      <c r="P91" s="62"/>
      <c r="Q91" s="69">
        <f t="shared" si="4"/>
        <v>0</v>
      </c>
    </row>
    <row r="92" spans="1:17" s="3" customFormat="1" x14ac:dyDescent="0.25">
      <c r="A92" s="66"/>
      <c r="B92" s="7" t="s">
        <v>160</v>
      </c>
      <c r="C92" s="48" t="s">
        <v>17</v>
      </c>
      <c r="D92" s="49"/>
      <c r="E92" s="50" t="s">
        <v>20</v>
      </c>
      <c r="F92" s="51" t="s">
        <v>257</v>
      </c>
      <c r="G92" s="67" t="s">
        <v>102</v>
      </c>
      <c r="H92" s="48">
        <v>1</v>
      </c>
      <c r="I92" s="68"/>
      <c r="J92" s="52"/>
      <c r="K92" s="26"/>
      <c r="L92" s="26"/>
      <c r="M92" s="62">
        <f t="shared" si="3"/>
        <v>0</v>
      </c>
      <c r="N92" s="40"/>
      <c r="O92" s="62"/>
      <c r="P92" s="62"/>
      <c r="Q92" s="69">
        <f t="shared" si="4"/>
        <v>0</v>
      </c>
    </row>
    <row r="93" spans="1:17" s="4" customFormat="1" x14ac:dyDescent="0.25">
      <c r="A93" s="66"/>
      <c r="B93" s="7" t="s">
        <v>60</v>
      </c>
      <c r="C93" s="48" t="s">
        <v>17</v>
      </c>
      <c r="D93" s="49"/>
      <c r="E93" s="50" t="s">
        <v>20</v>
      </c>
      <c r="F93" s="51"/>
      <c r="G93" s="23" t="s">
        <v>102</v>
      </c>
      <c r="H93" s="24"/>
      <c r="I93" s="25"/>
      <c r="J93" s="37"/>
      <c r="K93" s="26"/>
      <c r="L93" s="26"/>
      <c r="M93" s="62">
        <f t="shared" si="3"/>
        <v>0</v>
      </c>
      <c r="N93" s="40"/>
      <c r="O93" s="28"/>
      <c r="P93" s="28"/>
      <c r="Q93" s="69">
        <f t="shared" si="4"/>
        <v>0</v>
      </c>
    </row>
    <row r="94" spans="1:17" s="4" customFormat="1" x14ac:dyDescent="0.25">
      <c r="A94" s="66"/>
      <c r="B94" s="73" t="s">
        <v>137</v>
      </c>
      <c r="C94" s="48" t="s">
        <v>17</v>
      </c>
      <c r="D94" s="49"/>
      <c r="E94" s="50" t="s">
        <v>35</v>
      </c>
      <c r="F94" s="51" t="s">
        <v>194</v>
      </c>
      <c r="G94" s="67" t="s">
        <v>102</v>
      </c>
      <c r="H94" s="48">
        <v>4</v>
      </c>
      <c r="I94" s="68"/>
      <c r="J94" s="52"/>
      <c r="K94" s="26"/>
      <c r="L94" s="26"/>
      <c r="M94" s="62">
        <f t="shared" si="3"/>
        <v>0</v>
      </c>
      <c r="N94" s="43">
        <f>1</f>
        <v>1</v>
      </c>
      <c r="O94" s="26">
        <f>923.88</f>
        <v>923.88</v>
      </c>
      <c r="P94" s="26">
        <f>923.88</f>
        <v>923.88</v>
      </c>
      <c r="Q94" s="69">
        <f t="shared" si="4"/>
        <v>0</v>
      </c>
    </row>
    <row r="95" spans="1:17" s="3" customFormat="1" x14ac:dyDescent="0.25">
      <c r="A95" s="66"/>
      <c r="B95" s="11" t="s">
        <v>137</v>
      </c>
      <c r="C95" s="48" t="s">
        <v>17</v>
      </c>
      <c r="D95" s="49"/>
      <c r="E95" s="50" t="s">
        <v>27</v>
      </c>
      <c r="F95" s="22"/>
      <c r="G95" s="67" t="s">
        <v>107</v>
      </c>
      <c r="H95" s="48"/>
      <c r="I95" s="68"/>
      <c r="J95" s="37"/>
      <c r="K95" s="26"/>
      <c r="L95" s="26"/>
      <c r="M95" s="62">
        <f t="shared" si="3"/>
        <v>0</v>
      </c>
      <c r="N95" s="40"/>
      <c r="O95" s="26"/>
      <c r="P95" s="26"/>
      <c r="Q95" s="27">
        <f>O95-P95</f>
        <v>0</v>
      </c>
    </row>
    <row r="96" spans="1:17" s="3" customFormat="1" x14ac:dyDescent="0.25">
      <c r="A96" s="66"/>
      <c r="B96" s="7" t="s">
        <v>61</v>
      </c>
      <c r="C96" s="48" t="s">
        <v>17</v>
      </c>
      <c r="D96" s="49"/>
      <c r="E96" s="50" t="s">
        <v>35</v>
      </c>
      <c r="F96" s="51" t="s">
        <v>195</v>
      </c>
      <c r="G96" s="23" t="s">
        <v>102</v>
      </c>
      <c r="H96" s="24">
        <v>4</v>
      </c>
      <c r="I96" s="25"/>
      <c r="J96" s="37"/>
      <c r="K96" s="26"/>
      <c r="L96" s="26"/>
      <c r="M96" s="62">
        <f t="shared" si="3"/>
        <v>0</v>
      </c>
      <c r="N96" s="40">
        <f>2+1</f>
        <v>3</v>
      </c>
      <c r="O96" s="28">
        <f>3236.08</f>
        <v>3236.08</v>
      </c>
      <c r="P96" s="28">
        <f>3236.08</f>
        <v>3236.08</v>
      </c>
      <c r="Q96" s="27">
        <f t="shared" si="4"/>
        <v>0</v>
      </c>
    </row>
    <row r="97" spans="1:20" s="3" customFormat="1" x14ac:dyDescent="0.25">
      <c r="A97" s="66"/>
      <c r="B97" s="7" t="s">
        <v>61</v>
      </c>
      <c r="C97" s="48" t="s">
        <v>17</v>
      </c>
      <c r="D97" s="49"/>
      <c r="E97" s="50" t="s">
        <v>35</v>
      </c>
      <c r="F97" s="22"/>
      <c r="G97" s="67" t="s">
        <v>107</v>
      </c>
      <c r="H97" s="48"/>
      <c r="I97" s="68"/>
      <c r="J97" s="37"/>
      <c r="K97" s="26"/>
      <c r="L97" s="26"/>
      <c r="M97" s="62">
        <f t="shared" si="3"/>
        <v>0</v>
      </c>
      <c r="N97" s="40"/>
      <c r="O97" s="62"/>
      <c r="P97" s="62"/>
      <c r="Q97" s="69">
        <f t="shared" si="4"/>
        <v>0</v>
      </c>
    </row>
    <row r="98" spans="1:20" s="3" customFormat="1" x14ac:dyDescent="0.25">
      <c r="A98" s="66"/>
      <c r="B98" s="7" t="s">
        <v>130</v>
      </c>
      <c r="C98" s="48" t="s">
        <v>17</v>
      </c>
      <c r="D98" s="49"/>
      <c r="E98" s="50" t="s">
        <v>20</v>
      </c>
      <c r="F98" s="51" t="s">
        <v>196</v>
      </c>
      <c r="G98" s="23" t="s">
        <v>102</v>
      </c>
      <c r="H98" s="24"/>
      <c r="I98" s="29"/>
      <c r="J98" s="37"/>
      <c r="K98" s="26"/>
      <c r="L98" s="26"/>
      <c r="M98" s="62">
        <f t="shared" si="3"/>
        <v>0</v>
      </c>
      <c r="N98" s="40">
        <f>4</f>
        <v>4</v>
      </c>
      <c r="O98" s="26">
        <f>5791.8</f>
        <v>5791.8</v>
      </c>
      <c r="P98" s="26">
        <f>5791.8</f>
        <v>5791.8</v>
      </c>
      <c r="Q98" s="69">
        <f t="shared" si="4"/>
        <v>0</v>
      </c>
    </row>
    <row r="99" spans="1:20" s="3" customFormat="1" x14ac:dyDescent="0.25">
      <c r="A99" s="66"/>
      <c r="B99" s="7" t="s">
        <v>170</v>
      </c>
      <c r="C99" s="48"/>
      <c r="D99" s="49"/>
      <c r="E99" s="50"/>
      <c r="F99" s="22"/>
      <c r="G99" s="23" t="s">
        <v>104</v>
      </c>
      <c r="H99" s="24"/>
      <c r="I99" s="29"/>
      <c r="J99" s="37"/>
      <c r="K99" s="26"/>
      <c r="L99" s="26"/>
      <c r="M99" s="62">
        <f t="shared" si="3"/>
        <v>0</v>
      </c>
      <c r="N99" s="40"/>
      <c r="O99" s="28"/>
      <c r="P99" s="28"/>
      <c r="Q99" s="69"/>
    </row>
    <row r="100" spans="1:20" s="3" customFormat="1" ht="15.75" x14ac:dyDescent="0.25">
      <c r="A100" s="66"/>
      <c r="B100" s="7" t="s">
        <v>130</v>
      </c>
      <c r="C100" s="48" t="s">
        <v>17</v>
      </c>
      <c r="D100" s="49"/>
      <c r="E100" s="50" t="s">
        <v>20</v>
      </c>
      <c r="F100" s="22"/>
      <c r="G100" s="67" t="s">
        <v>104</v>
      </c>
      <c r="H100" s="1">
        <v>1</v>
      </c>
      <c r="I100" s="68"/>
      <c r="J100" s="52"/>
      <c r="K100" s="26"/>
      <c r="L100" s="26"/>
      <c r="M100" s="62">
        <f t="shared" si="3"/>
        <v>0</v>
      </c>
      <c r="N100" s="40"/>
      <c r="O100" s="62"/>
      <c r="P100" s="62"/>
      <c r="Q100" s="69">
        <f t="shared" si="4"/>
        <v>0</v>
      </c>
    </row>
    <row r="101" spans="1:20" s="3" customFormat="1" x14ac:dyDescent="0.25">
      <c r="A101" s="66"/>
      <c r="B101" s="8" t="s">
        <v>63</v>
      </c>
      <c r="C101" s="48" t="s">
        <v>17</v>
      </c>
      <c r="D101" s="49"/>
      <c r="E101" s="50" t="s">
        <v>21</v>
      </c>
      <c r="F101" s="51" t="s">
        <v>197</v>
      </c>
      <c r="G101" s="23" t="s">
        <v>102</v>
      </c>
      <c r="H101" s="24">
        <v>3</v>
      </c>
      <c r="I101" s="25"/>
      <c r="J101" s="37"/>
      <c r="K101" s="26">
        <f>1272.09</f>
        <v>1272.0899999999999</v>
      </c>
      <c r="L101" s="26">
        <f>1272.09</f>
        <v>1272.0899999999999</v>
      </c>
      <c r="M101" s="62">
        <f t="shared" si="3"/>
        <v>0</v>
      </c>
      <c r="N101" s="40">
        <f>5</f>
        <v>5</v>
      </c>
      <c r="O101" s="28">
        <f>24813.5</f>
        <v>24813.5</v>
      </c>
      <c r="P101" s="28">
        <f>24813.5</f>
        <v>24813.5</v>
      </c>
      <c r="Q101" s="69">
        <f t="shared" si="4"/>
        <v>0</v>
      </c>
    </row>
    <row r="102" spans="1:20" s="3" customFormat="1" x14ac:dyDescent="0.25">
      <c r="A102" s="66"/>
      <c r="B102" s="8" t="s">
        <v>63</v>
      </c>
      <c r="C102" s="48" t="s">
        <v>17</v>
      </c>
      <c r="D102" s="49"/>
      <c r="E102" s="50" t="s">
        <v>21</v>
      </c>
      <c r="F102" s="22" t="s">
        <v>263</v>
      </c>
      <c r="G102" s="67" t="s">
        <v>108</v>
      </c>
      <c r="H102" s="48"/>
      <c r="I102" s="68"/>
      <c r="J102" s="37"/>
      <c r="K102" s="26"/>
      <c r="L102" s="26"/>
      <c r="M102" s="62">
        <f t="shared" si="3"/>
        <v>0</v>
      </c>
      <c r="N102" s="40"/>
      <c r="O102" s="62"/>
      <c r="P102" s="62"/>
      <c r="Q102" s="27">
        <f t="shared" si="4"/>
        <v>0</v>
      </c>
      <c r="T102" s="106"/>
    </row>
    <row r="103" spans="1:20" s="3" customFormat="1" x14ac:dyDescent="0.25">
      <c r="A103" s="66"/>
      <c r="B103" s="11" t="s">
        <v>116</v>
      </c>
      <c r="C103" s="48" t="s">
        <v>17</v>
      </c>
      <c r="D103" s="49"/>
      <c r="E103" s="54" t="s">
        <v>35</v>
      </c>
      <c r="F103" s="51" t="s">
        <v>198</v>
      </c>
      <c r="G103" s="23" t="s">
        <v>102</v>
      </c>
      <c r="H103" s="24">
        <v>4</v>
      </c>
      <c r="I103" s="25"/>
      <c r="J103" s="37"/>
      <c r="K103" s="26"/>
      <c r="L103" s="26"/>
      <c r="M103" s="62">
        <f t="shared" si="3"/>
        <v>0</v>
      </c>
      <c r="N103" s="40">
        <f>5+3</f>
        <v>8</v>
      </c>
      <c r="O103" s="26">
        <f>7187.84</f>
        <v>7187.84</v>
      </c>
      <c r="P103" s="26">
        <f>7187.84</f>
        <v>7187.84</v>
      </c>
      <c r="Q103" s="69">
        <f t="shared" si="4"/>
        <v>0</v>
      </c>
    </row>
    <row r="104" spans="1:20" s="3" customFormat="1" x14ac:dyDescent="0.25">
      <c r="A104" s="66"/>
      <c r="B104" s="11" t="s">
        <v>116</v>
      </c>
      <c r="C104" s="48" t="s">
        <v>17</v>
      </c>
      <c r="D104" s="49"/>
      <c r="E104" s="54" t="s">
        <v>35</v>
      </c>
      <c r="F104" s="22"/>
      <c r="G104" s="67" t="s">
        <v>107</v>
      </c>
      <c r="H104" s="48"/>
      <c r="I104" s="68"/>
      <c r="J104" s="52"/>
      <c r="K104" s="53"/>
      <c r="L104" s="53"/>
      <c r="M104" s="62">
        <f t="shared" si="3"/>
        <v>0</v>
      </c>
      <c r="N104" s="43">
        <f>1</f>
        <v>1</v>
      </c>
      <c r="O104" s="62">
        <v>1471.4</v>
      </c>
      <c r="P104" s="62">
        <v>1471.4</v>
      </c>
      <c r="Q104" s="27">
        <f t="shared" si="4"/>
        <v>0</v>
      </c>
    </row>
    <row r="105" spans="1:20" s="3" customFormat="1" x14ac:dyDescent="0.25">
      <c r="A105" s="66"/>
      <c r="B105" s="8" t="s">
        <v>64</v>
      </c>
      <c r="C105" s="48" t="s">
        <v>17</v>
      </c>
      <c r="D105" s="49"/>
      <c r="E105" s="54" t="s">
        <v>21</v>
      </c>
      <c r="F105" s="113" t="s">
        <v>235</v>
      </c>
      <c r="G105" s="23" t="s">
        <v>102</v>
      </c>
      <c r="H105" s="24">
        <v>3</v>
      </c>
      <c r="I105" s="25">
        <v>2</v>
      </c>
      <c r="J105" s="37">
        <f>2</f>
        <v>2</v>
      </c>
      <c r="K105" s="26"/>
      <c r="L105" s="26"/>
      <c r="M105" s="62">
        <f t="shared" si="3"/>
        <v>0</v>
      </c>
      <c r="N105" s="40">
        <f>4+2</f>
        <v>6</v>
      </c>
      <c r="O105" s="28">
        <f>16393.94</f>
        <v>16393.939999999999</v>
      </c>
      <c r="P105" s="28">
        <f>16393.94</f>
        <v>16393.939999999999</v>
      </c>
      <c r="Q105" s="69">
        <f t="shared" si="4"/>
        <v>0</v>
      </c>
    </row>
    <row r="106" spans="1:20" s="3" customFormat="1" x14ac:dyDescent="0.25">
      <c r="A106" s="66"/>
      <c r="B106" s="8" t="s">
        <v>64</v>
      </c>
      <c r="C106" s="48" t="s">
        <v>17</v>
      </c>
      <c r="D106" s="49"/>
      <c r="E106" s="54" t="s">
        <v>21</v>
      </c>
      <c r="F106" s="22" t="s">
        <v>264</v>
      </c>
      <c r="G106" s="67" t="s">
        <v>108</v>
      </c>
      <c r="H106" s="48">
        <v>2</v>
      </c>
      <c r="I106" s="68"/>
      <c r="J106" s="37"/>
      <c r="K106" s="26"/>
      <c r="L106" s="26"/>
      <c r="M106" s="62">
        <f t="shared" si="3"/>
        <v>0</v>
      </c>
      <c r="N106" s="40">
        <v>5</v>
      </c>
      <c r="O106" s="62">
        <v>8113.72</v>
      </c>
      <c r="P106" s="62">
        <v>8113.72</v>
      </c>
      <c r="Q106" s="27">
        <f t="shared" si="4"/>
        <v>0</v>
      </c>
      <c r="T106" s="106"/>
    </row>
    <row r="107" spans="1:20" s="3" customFormat="1" x14ac:dyDescent="0.25">
      <c r="A107" s="66"/>
      <c r="B107" s="8" t="s">
        <v>65</v>
      </c>
      <c r="C107" s="48" t="s">
        <v>17</v>
      </c>
      <c r="D107" s="49"/>
      <c r="E107" s="54" t="s">
        <v>32</v>
      </c>
      <c r="F107" s="113" t="s">
        <v>236</v>
      </c>
      <c r="G107" s="23" t="s">
        <v>102</v>
      </c>
      <c r="H107" s="24">
        <v>2</v>
      </c>
      <c r="I107" s="25"/>
      <c r="J107" s="37"/>
      <c r="K107" s="26"/>
      <c r="L107" s="26"/>
      <c r="M107" s="62">
        <f t="shared" si="3"/>
        <v>0</v>
      </c>
      <c r="N107" s="40">
        <f>2</f>
        <v>2</v>
      </c>
      <c r="O107" s="28">
        <f>881.84</f>
        <v>881.84</v>
      </c>
      <c r="P107" s="28">
        <f>881.84</f>
        <v>881.84</v>
      </c>
      <c r="Q107" s="69">
        <f t="shared" si="4"/>
        <v>0</v>
      </c>
    </row>
    <row r="108" spans="1:20" s="3" customFormat="1" x14ac:dyDescent="0.25">
      <c r="A108" s="66"/>
      <c r="B108" s="8" t="s">
        <v>65</v>
      </c>
      <c r="C108" s="48" t="s">
        <v>17</v>
      </c>
      <c r="D108" s="49"/>
      <c r="E108" s="54" t="s">
        <v>32</v>
      </c>
      <c r="F108" s="22"/>
      <c r="G108" s="72" t="s">
        <v>107</v>
      </c>
      <c r="H108" s="48">
        <v>1</v>
      </c>
      <c r="I108" s="68"/>
      <c r="J108" s="37"/>
      <c r="K108" s="26"/>
      <c r="L108" s="26"/>
      <c r="M108" s="62">
        <f t="shared" si="3"/>
        <v>0</v>
      </c>
      <c r="N108" s="40"/>
      <c r="O108" s="26"/>
      <c r="P108" s="26"/>
      <c r="Q108" s="27">
        <f t="shared" si="4"/>
        <v>0</v>
      </c>
    </row>
    <row r="109" spans="1:20" s="4" customFormat="1" x14ac:dyDescent="0.25">
      <c r="A109" s="66"/>
      <c r="B109" s="7" t="s">
        <v>66</v>
      </c>
      <c r="C109" s="48" t="s">
        <v>17</v>
      </c>
      <c r="D109" s="49"/>
      <c r="E109" s="50" t="s">
        <v>20</v>
      </c>
      <c r="F109" s="51" t="s">
        <v>199</v>
      </c>
      <c r="G109" s="23" t="s">
        <v>102</v>
      </c>
      <c r="H109" s="24">
        <v>1</v>
      </c>
      <c r="I109" s="25"/>
      <c r="J109" s="37"/>
      <c r="K109" s="26"/>
      <c r="L109" s="26"/>
      <c r="M109" s="62">
        <f t="shared" si="3"/>
        <v>0</v>
      </c>
      <c r="N109" s="40"/>
      <c r="O109" s="26"/>
      <c r="P109" s="26"/>
      <c r="Q109" s="69">
        <f t="shared" si="4"/>
        <v>0</v>
      </c>
    </row>
    <row r="110" spans="1:20" s="4" customFormat="1" x14ac:dyDescent="0.25">
      <c r="A110" s="66"/>
      <c r="B110" s="73" t="s">
        <v>163</v>
      </c>
      <c r="C110" s="48" t="s">
        <v>17</v>
      </c>
      <c r="D110" s="49"/>
      <c r="E110" s="50" t="s">
        <v>20</v>
      </c>
      <c r="F110" s="51" t="s">
        <v>243</v>
      </c>
      <c r="G110" s="23" t="s">
        <v>102</v>
      </c>
      <c r="H110" s="24">
        <v>1</v>
      </c>
      <c r="I110" s="25"/>
      <c r="J110" s="37"/>
      <c r="K110" s="26"/>
      <c r="L110" s="26"/>
      <c r="M110" s="62">
        <f t="shared" si="3"/>
        <v>0</v>
      </c>
      <c r="N110" s="40"/>
      <c r="O110" s="26"/>
      <c r="P110" s="26"/>
      <c r="Q110" s="69">
        <f t="shared" si="4"/>
        <v>0</v>
      </c>
    </row>
    <row r="111" spans="1:20" s="4" customFormat="1" x14ac:dyDescent="0.25">
      <c r="A111" s="66"/>
      <c r="B111" s="73" t="s">
        <v>163</v>
      </c>
      <c r="C111" s="48" t="s">
        <v>17</v>
      </c>
      <c r="D111" s="49"/>
      <c r="E111" s="50" t="s">
        <v>32</v>
      </c>
      <c r="F111" s="22"/>
      <c r="G111" s="72" t="s">
        <v>107</v>
      </c>
      <c r="H111" s="24"/>
      <c r="I111" s="25"/>
      <c r="J111" s="37"/>
      <c r="K111" s="26"/>
      <c r="L111" s="26"/>
      <c r="M111" s="62">
        <f t="shared" si="3"/>
        <v>0</v>
      </c>
      <c r="N111" s="40">
        <v>1</v>
      </c>
      <c r="O111" s="26"/>
      <c r="P111" s="26"/>
      <c r="Q111" s="69">
        <f t="shared" si="4"/>
        <v>0</v>
      </c>
    </row>
    <row r="112" spans="1:20" s="3" customFormat="1" x14ac:dyDescent="0.25">
      <c r="A112" s="66"/>
      <c r="B112" s="11" t="s">
        <v>67</v>
      </c>
      <c r="C112" s="48" t="s">
        <v>17</v>
      </c>
      <c r="D112" s="49"/>
      <c r="E112" s="50" t="s">
        <v>20</v>
      </c>
      <c r="F112" s="51" t="s">
        <v>200</v>
      </c>
      <c r="G112" s="23" t="s">
        <v>102</v>
      </c>
      <c r="H112" s="24">
        <v>1</v>
      </c>
      <c r="I112" s="25">
        <v>1</v>
      </c>
      <c r="J112" s="37">
        <f>1</f>
        <v>1</v>
      </c>
      <c r="K112" s="26">
        <f>693.66</f>
        <v>693.66</v>
      </c>
      <c r="L112" s="26">
        <f>693.66</f>
        <v>693.66</v>
      </c>
      <c r="M112" s="62">
        <f t="shared" si="3"/>
        <v>0</v>
      </c>
      <c r="N112" s="40">
        <f>2+1</f>
        <v>3</v>
      </c>
      <c r="O112" s="28">
        <f>1849.76+6423.84</f>
        <v>8273.6</v>
      </c>
      <c r="P112" s="28">
        <f>1849.76+6423.84</f>
        <v>8273.6</v>
      </c>
      <c r="Q112" s="27">
        <f t="shared" si="4"/>
        <v>0</v>
      </c>
    </row>
    <row r="113" spans="1:20" s="3" customFormat="1" x14ac:dyDescent="0.25">
      <c r="A113" s="66"/>
      <c r="B113" s="11" t="s">
        <v>67</v>
      </c>
      <c r="C113" s="48" t="s">
        <v>17</v>
      </c>
      <c r="D113" s="49"/>
      <c r="E113" s="50" t="s">
        <v>20</v>
      </c>
      <c r="F113" s="22"/>
      <c r="G113" s="67" t="s">
        <v>104</v>
      </c>
      <c r="H113" s="48">
        <v>3</v>
      </c>
      <c r="I113" s="68"/>
      <c r="J113" s="52"/>
      <c r="K113" s="26"/>
      <c r="L113" s="26"/>
      <c r="M113" s="62">
        <f t="shared" si="3"/>
        <v>0</v>
      </c>
      <c r="N113" s="40">
        <f>3</f>
        <v>3</v>
      </c>
      <c r="O113" s="62"/>
      <c r="P113" s="62"/>
      <c r="Q113" s="69">
        <f t="shared" si="4"/>
        <v>0</v>
      </c>
    </row>
    <row r="114" spans="1:20" s="4" customFormat="1" x14ac:dyDescent="0.25">
      <c r="A114" s="66"/>
      <c r="B114" s="11" t="s">
        <v>68</v>
      </c>
      <c r="C114" s="48" t="s">
        <v>17</v>
      </c>
      <c r="D114" s="49"/>
      <c r="E114" s="50" t="s">
        <v>32</v>
      </c>
      <c r="F114" s="51" t="s">
        <v>244</v>
      </c>
      <c r="G114" s="23" t="s">
        <v>102</v>
      </c>
      <c r="H114" s="24">
        <v>1</v>
      </c>
      <c r="I114" s="25"/>
      <c r="J114" s="37"/>
      <c r="K114" s="26"/>
      <c r="L114" s="26"/>
      <c r="M114" s="62">
        <f t="shared" si="3"/>
        <v>0</v>
      </c>
      <c r="N114" s="40">
        <f>1</f>
        <v>1</v>
      </c>
      <c r="O114" s="28"/>
      <c r="P114" s="28"/>
      <c r="Q114" s="27">
        <f t="shared" si="4"/>
        <v>0</v>
      </c>
    </row>
    <row r="115" spans="1:20" s="4" customFormat="1" x14ac:dyDescent="0.25">
      <c r="A115" s="66"/>
      <c r="B115" s="11" t="s">
        <v>68</v>
      </c>
      <c r="C115" s="48" t="s">
        <v>17</v>
      </c>
      <c r="D115" s="49"/>
      <c r="E115" s="50" t="s">
        <v>32</v>
      </c>
      <c r="F115" s="22"/>
      <c r="G115" s="67" t="s">
        <v>105</v>
      </c>
      <c r="H115" s="48">
        <v>2</v>
      </c>
      <c r="I115" s="68"/>
      <c r="J115" s="37"/>
      <c r="K115" s="74"/>
      <c r="L115" s="74"/>
      <c r="M115" s="62">
        <f t="shared" si="3"/>
        <v>0</v>
      </c>
      <c r="N115" s="43"/>
      <c r="O115" s="26"/>
      <c r="P115" s="26"/>
      <c r="Q115" s="69">
        <f t="shared" si="4"/>
        <v>0</v>
      </c>
    </row>
    <row r="116" spans="1:20" s="3" customFormat="1" x14ac:dyDescent="0.25">
      <c r="A116" s="66"/>
      <c r="B116" s="11" t="s">
        <v>143</v>
      </c>
      <c r="C116" s="48" t="s">
        <v>17</v>
      </c>
      <c r="D116" s="49"/>
      <c r="E116" s="50" t="s">
        <v>20</v>
      </c>
      <c r="F116" s="51" t="s">
        <v>201</v>
      </c>
      <c r="G116" s="23" t="s">
        <v>102</v>
      </c>
      <c r="H116" s="24">
        <v>1</v>
      </c>
      <c r="I116" s="25"/>
      <c r="J116" s="37"/>
      <c r="K116" s="26"/>
      <c r="L116" s="26"/>
      <c r="M116" s="62">
        <f t="shared" si="3"/>
        <v>0</v>
      </c>
      <c r="N116" s="40">
        <f>4</f>
        <v>4</v>
      </c>
      <c r="O116" s="26">
        <f>9582.76</f>
        <v>9582.76</v>
      </c>
      <c r="P116" s="26">
        <f>9582.76</f>
        <v>9582.76</v>
      </c>
      <c r="Q116" s="27">
        <f>O116-P116</f>
        <v>0</v>
      </c>
    </row>
    <row r="117" spans="1:20" s="4" customFormat="1" x14ac:dyDescent="0.25">
      <c r="A117" s="66"/>
      <c r="B117" s="11" t="s">
        <v>125</v>
      </c>
      <c r="C117" s="48" t="s">
        <v>17</v>
      </c>
      <c r="D117" s="49"/>
      <c r="E117" s="50" t="s">
        <v>35</v>
      </c>
      <c r="F117" s="113" t="s">
        <v>227</v>
      </c>
      <c r="G117" s="23" t="s">
        <v>102</v>
      </c>
      <c r="H117" s="24">
        <v>2</v>
      </c>
      <c r="I117" s="25"/>
      <c r="J117" s="37"/>
      <c r="K117" s="26"/>
      <c r="L117" s="26"/>
      <c r="M117" s="62">
        <f t="shared" si="3"/>
        <v>0</v>
      </c>
      <c r="N117" s="43">
        <f>3+2</f>
        <v>5</v>
      </c>
      <c r="O117" s="26">
        <f>8799.83</f>
        <v>8799.83</v>
      </c>
      <c r="P117" s="26">
        <f>8799.83</f>
        <v>8799.83</v>
      </c>
      <c r="Q117" s="27">
        <f t="shared" si="4"/>
        <v>0</v>
      </c>
    </row>
    <row r="118" spans="1:20" s="4" customFormat="1" x14ac:dyDescent="0.25">
      <c r="A118" s="66"/>
      <c r="B118" s="70" t="s">
        <v>125</v>
      </c>
      <c r="C118" s="48" t="s">
        <v>17</v>
      </c>
      <c r="D118" s="49"/>
      <c r="E118" s="50" t="s">
        <v>32</v>
      </c>
      <c r="F118" s="22"/>
      <c r="G118" s="67" t="s">
        <v>107</v>
      </c>
      <c r="H118" s="48">
        <v>1</v>
      </c>
      <c r="I118" s="68"/>
      <c r="J118" s="37"/>
      <c r="K118" s="26"/>
      <c r="L118" s="26"/>
      <c r="M118" s="62">
        <f t="shared" si="3"/>
        <v>0</v>
      </c>
      <c r="N118" s="40">
        <f>1</f>
        <v>1</v>
      </c>
      <c r="O118" s="26">
        <v>1618.54</v>
      </c>
      <c r="P118" s="26">
        <v>1618.54</v>
      </c>
      <c r="Q118" s="69">
        <f t="shared" si="4"/>
        <v>0</v>
      </c>
    </row>
    <row r="119" spans="1:20" s="3" customFormat="1" x14ac:dyDescent="0.25">
      <c r="A119" s="66"/>
      <c r="B119" s="8" t="s">
        <v>69</v>
      </c>
      <c r="C119" s="48" t="s">
        <v>17</v>
      </c>
      <c r="D119" s="49"/>
      <c r="E119" s="50" t="s">
        <v>21</v>
      </c>
      <c r="F119" s="113" t="s">
        <v>228</v>
      </c>
      <c r="G119" s="23" t="s">
        <v>102</v>
      </c>
      <c r="H119" s="24">
        <v>4</v>
      </c>
      <c r="I119" s="25"/>
      <c r="J119" s="37"/>
      <c r="K119" s="26"/>
      <c r="L119" s="26"/>
      <c r="M119" s="62">
        <f t="shared" si="3"/>
        <v>0</v>
      </c>
      <c r="N119" s="40">
        <f>1+2</f>
        <v>3</v>
      </c>
      <c r="O119" s="28">
        <f>1656.62</f>
        <v>1656.62</v>
      </c>
      <c r="P119" s="28">
        <f>1656.62</f>
        <v>1656.62</v>
      </c>
      <c r="Q119" s="27">
        <f t="shared" si="4"/>
        <v>0</v>
      </c>
    </row>
    <row r="120" spans="1:20" s="3" customFormat="1" x14ac:dyDescent="0.25">
      <c r="A120" s="66"/>
      <c r="B120" s="8" t="s">
        <v>69</v>
      </c>
      <c r="C120" s="48" t="s">
        <v>17</v>
      </c>
      <c r="D120" s="49"/>
      <c r="E120" s="50" t="s">
        <v>21</v>
      </c>
      <c r="F120" s="22" t="s">
        <v>265</v>
      </c>
      <c r="G120" s="67" t="s">
        <v>108</v>
      </c>
      <c r="H120" s="48"/>
      <c r="I120" s="68"/>
      <c r="J120" s="37"/>
      <c r="K120" s="26"/>
      <c r="L120" s="26"/>
      <c r="M120" s="62">
        <f t="shared" si="3"/>
        <v>0</v>
      </c>
      <c r="N120" s="40">
        <v>3</v>
      </c>
      <c r="O120" s="62">
        <v>6558.24</v>
      </c>
      <c r="P120" s="62">
        <v>6558.24</v>
      </c>
      <c r="Q120" s="69">
        <f t="shared" si="4"/>
        <v>0</v>
      </c>
      <c r="T120" s="106"/>
    </row>
    <row r="121" spans="1:20" s="4" customFormat="1" x14ac:dyDescent="0.25">
      <c r="A121" s="66"/>
      <c r="B121" s="8" t="s">
        <v>70</v>
      </c>
      <c r="C121" s="48" t="s">
        <v>17</v>
      </c>
      <c r="D121" s="49"/>
      <c r="E121" s="50" t="s">
        <v>71</v>
      </c>
      <c r="F121" s="51" t="s">
        <v>202</v>
      </c>
      <c r="G121" s="23" t="s">
        <v>102</v>
      </c>
      <c r="H121" s="24">
        <v>4</v>
      </c>
      <c r="I121" s="25">
        <v>1</v>
      </c>
      <c r="J121" s="37">
        <f>1</f>
        <v>1</v>
      </c>
      <c r="K121" s="26">
        <f>315.3</f>
        <v>315.3</v>
      </c>
      <c r="L121" s="26">
        <f>315.3</f>
        <v>315.3</v>
      </c>
      <c r="M121" s="62">
        <f t="shared" si="3"/>
        <v>0</v>
      </c>
      <c r="N121" s="40">
        <f>10</f>
        <v>10</v>
      </c>
      <c r="O121" s="28">
        <f>19741.04</f>
        <v>19741.04</v>
      </c>
      <c r="P121" s="28">
        <f>19741.04</f>
        <v>19741.04</v>
      </c>
      <c r="Q121" s="27">
        <f t="shared" si="4"/>
        <v>0</v>
      </c>
    </row>
    <row r="122" spans="1:20" s="4" customFormat="1" x14ac:dyDescent="0.25">
      <c r="A122" s="66"/>
      <c r="B122" s="8" t="s">
        <v>70</v>
      </c>
      <c r="C122" s="48" t="s">
        <v>17</v>
      </c>
      <c r="D122" s="49"/>
      <c r="E122" s="50" t="s">
        <v>71</v>
      </c>
      <c r="F122" s="22"/>
      <c r="G122" s="67" t="s">
        <v>104</v>
      </c>
      <c r="H122" s="48"/>
      <c r="I122" s="68"/>
      <c r="J122" s="52"/>
      <c r="K122" s="26"/>
      <c r="L122" s="26"/>
      <c r="M122" s="62">
        <f t="shared" si="3"/>
        <v>0</v>
      </c>
      <c r="N122" s="40"/>
      <c r="O122" s="62"/>
      <c r="P122" s="62"/>
      <c r="Q122" s="69">
        <f t="shared" si="4"/>
        <v>0</v>
      </c>
    </row>
    <row r="123" spans="1:20" s="3" customFormat="1" x14ac:dyDescent="0.25">
      <c r="A123" s="66"/>
      <c r="B123" s="8" t="s">
        <v>115</v>
      </c>
      <c r="C123" s="48" t="s">
        <v>17</v>
      </c>
      <c r="D123" s="49"/>
      <c r="E123" s="54" t="s">
        <v>35</v>
      </c>
      <c r="F123" s="51" t="s">
        <v>245</v>
      </c>
      <c r="G123" s="23" t="s">
        <v>102</v>
      </c>
      <c r="H123" s="24">
        <v>1</v>
      </c>
      <c r="I123" s="25"/>
      <c r="J123" s="37"/>
      <c r="K123" s="26"/>
      <c r="L123" s="26"/>
      <c r="M123" s="62">
        <f t="shared" si="3"/>
        <v>0</v>
      </c>
      <c r="N123" s="40"/>
      <c r="O123" s="28"/>
      <c r="P123" s="28"/>
      <c r="Q123" s="69">
        <f t="shared" si="4"/>
        <v>0</v>
      </c>
    </row>
    <row r="124" spans="1:20" s="3" customFormat="1" x14ac:dyDescent="0.25">
      <c r="A124" s="66"/>
      <c r="B124" s="8" t="s">
        <v>115</v>
      </c>
      <c r="C124" s="48" t="s">
        <v>17</v>
      </c>
      <c r="D124" s="49"/>
      <c r="E124" s="54" t="s">
        <v>35</v>
      </c>
      <c r="F124" s="22"/>
      <c r="G124" s="67" t="s">
        <v>105</v>
      </c>
      <c r="H124" s="48"/>
      <c r="I124" s="68"/>
      <c r="J124" s="37"/>
      <c r="K124" s="26"/>
      <c r="L124" s="26"/>
      <c r="M124" s="62">
        <f t="shared" si="3"/>
        <v>0</v>
      </c>
      <c r="N124" s="40"/>
      <c r="O124" s="62"/>
      <c r="P124" s="62"/>
      <c r="Q124" s="27">
        <f t="shared" si="4"/>
        <v>0</v>
      </c>
    </row>
    <row r="125" spans="1:20" s="3" customFormat="1" x14ac:dyDescent="0.25">
      <c r="A125" s="66"/>
      <c r="B125" s="8" t="s">
        <v>120</v>
      </c>
      <c r="C125" s="48" t="s">
        <v>17</v>
      </c>
      <c r="D125" s="49"/>
      <c r="E125" s="54" t="s">
        <v>20</v>
      </c>
      <c r="F125" s="51" t="s">
        <v>203</v>
      </c>
      <c r="G125" s="23" t="s">
        <v>102</v>
      </c>
      <c r="H125" s="24">
        <v>1</v>
      </c>
      <c r="I125" s="29"/>
      <c r="J125" s="37"/>
      <c r="K125" s="26"/>
      <c r="L125" s="26"/>
      <c r="M125" s="62">
        <f t="shared" si="3"/>
        <v>0</v>
      </c>
      <c r="N125" s="40">
        <f>1+1</f>
        <v>2</v>
      </c>
      <c r="O125" s="26">
        <f>4146.67</f>
        <v>4146.67</v>
      </c>
      <c r="P125" s="26">
        <f>4146.67</f>
        <v>4146.67</v>
      </c>
      <c r="Q125" s="69">
        <f t="shared" si="4"/>
        <v>0</v>
      </c>
    </row>
    <row r="126" spans="1:20" s="3" customFormat="1" x14ac:dyDescent="0.25">
      <c r="A126" s="66"/>
      <c r="B126" s="8" t="s">
        <v>120</v>
      </c>
      <c r="C126" s="48" t="s">
        <v>17</v>
      </c>
      <c r="D126" s="49"/>
      <c r="E126" s="54" t="s">
        <v>20</v>
      </c>
      <c r="F126" s="22"/>
      <c r="G126" s="67" t="s">
        <v>104</v>
      </c>
      <c r="H126" s="48">
        <v>1</v>
      </c>
      <c r="I126" s="68"/>
      <c r="J126" s="52"/>
      <c r="K126" s="26"/>
      <c r="L126" s="26"/>
      <c r="M126" s="62">
        <f t="shared" si="3"/>
        <v>0</v>
      </c>
      <c r="N126" s="40"/>
      <c r="O126" s="62"/>
      <c r="P126" s="62"/>
      <c r="Q126" s="69">
        <f t="shared" si="4"/>
        <v>0</v>
      </c>
    </row>
    <row r="127" spans="1:20" s="3" customFormat="1" x14ac:dyDescent="0.25">
      <c r="A127" s="66"/>
      <c r="B127" s="11" t="s">
        <v>72</v>
      </c>
      <c r="C127" s="48" t="s">
        <v>17</v>
      </c>
      <c r="D127" s="49"/>
      <c r="E127" s="50" t="s">
        <v>20</v>
      </c>
      <c r="F127" s="51" t="s">
        <v>204</v>
      </c>
      <c r="G127" s="23" t="s">
        <v>102</v>
      </c>
      <c r="H127" s="24">
        <v>4</v>
      </c>
      <c r="I127" s="25">
        <v>1</v>
      </c>
      <c r="J127" s="37">
        <f>1</f>
        <v>1</v>
      </c>
      <c r="K127" s="26">
        <f>742.01</f>
        <v>742.01</v>
      </c>
      <c r="L127" s="26">
        <f>742.01</f>
        <v>742.01</v>
      </c>
      <c r="M127" s="62">
        <f t="shared" si="3"/>
        <v>0</v>
      </c>
      <c r="N127" s="40">
        <f>2+4+2</f>
        <v>8</v>
      </c>
      <c r="O127" s="28">
        <f>18833.73</f>
        <v>18833.73</v>
      </c>
      <c r="P127" s="28">
        <f>18833.73</f>
        <v>18833.73</v>
      </c>
      <c r="Q127" s="69">
        <f t="shared" si="4"/>
        <v>0</v>
      </c>
    </row>
    <row r="128" spans="1:20" s="3" customFormat="1" x14ac:dyDescent="0.25">
      <c r="A128" s="66"/>
      <c r="B128" s="11" t="s">
        <v>72</v>
      </c>
      <c r="C128" s="48" t="s">
        <v>17</v>
      </c>
      <c r="D128" s="49"/>
      <c r="E128" s="50" t="s">
        <v>20</v>
      </c>
      <c r="F128" s="22"/>
      <c r="G128" s="67" t="s">
        <v>104</v>
      </c>
      <c r="H128" s="48">
        <v>1</v>
      </c>
      <c r="I128" s="68"/>
      <c r="J128" s="52"/>
      <c r="K128" s="26"/>
      <c r="L128" s="26"/>
      <c r="M128" s="62">
        <f t="shared" si="3"/>
        <v>0</v>
      </c>
      <c r="N128" s="40">
        <f>1</f>
        <v>1</v>
      </c>
      <c r="O128" s="62"/>
      <c r="P128" s="62"/>
      <c r="Q128" s="69">
        <f t="shared" si="4"/>
        <v>0</v>
      </c>
    </row>
    <row r="129" spans="1:17" s="3" customFormat="1" x14ac:dyDescent="0.25">
      <c r="A129" s="66"/>
      <c r="B129" s="8" t="s">
        <v>73</v>
      </c>
      <c r="C129" s="48" t="s">
        <v>17</v>
      </c>
      <c r="D129" s="49"/>
      <c r="E129" s="50" t="s">
        <v>32</v>
      </c>
      <c r="F129" s="113" t="s">
        <v>230</v>
      </c>
      <c r="G129" s="23" t="s">
        <v>102</v>
      </c>
      <c r="H129" s="24">
        <v>2</v>
      </c>
      <c r="I129" s="25"/>
      <c r="J129" s="37"/>
      <c r="K129" s="26"/>
      <c r="L129" s="26"/>
      <c r="M129" s="62">
        <f t="shared" si="3"/>
        <v>0</v>
      </c>
      <c r="N129" s="40">
        <f>4</f>
        <v>4</v>
      </c>
      <c r="O129" s="28">
        <f>6108.55</f>
        <v>6108.55</v>
      </c>
      <c r="P129" s="28">
        <f>6108.55</f>
        <v>6108.55</v>
      </c>
      <c r="Q129" s="69">
        <f t="shared" si="4"/>
        <v>0</v>
      </c>
    </row>
    <row r="130" spans="1:17" s="3" customFormat="1" x14ac:dyDescent="0.25">
      <c r="A130" s="66"/>
      <c r="B130" s="8" t="s">
        <v>73</v>
      </c>
      <c r="C130" s="48" t="s">
        <v>17</v>
      </c>
      <c r="D130" s="49"/>
      <c r="E130" s="50" t="s">
        <v>32</v>
      </c>
      <c r="F130" s="22"/>
      <c r="G130" s="67" t="s">
        <v>107</v>
      </c>
      <c r="H130" s="48"/>
      <c r="I130" s="68"/>
      <c r="J130" s="37"/>
      <c r="K130" s="26"/>
      <c r="L130" s="26"/>
      <c r="M130" s="62">
        <f t="shared" si="3"/>
        <v>0</v>
      </c>
      <c r="N130" s="40"/>
      <c r="O130" s="62"/>
      <c r="P130" s="62"/>
      <c r="Q130" s="27">
        <f t="shared" si="4"/>
        <v>0</v>
      </c>
    </row>
    <row r="131" spans="1:17" s="3" customFormat="1" x14ac:dyDescent="0.25">
      <c r="A131" s="66"/>
      <c r="B131" s="8" t="s">
        <v>144</v>
      </c>
      <c r="C131" s="48" t="s">
        <v>17</v>
      </c>
      <c r="D131" s="49"/>
      <c r="E131" s="50" t="s">
        <v>21</v>
      </c>
      <c r="F131" s="113" t="s">
        <v>246</v>
      </c>
      <c r="G131" s="67" t="s">
        <v>102</v>
      </c>
      <c r="H131" s="48"/>
      <c r="I131" s="68"/>
      <c r="J131" s="37"/>
      <c r="K131" s="26"/>
      <c r="L131" s="26"/>
      <c r="M131" s="62">
        <f t="shared" si="3"/>
        <v>0</v>
      </c>
      <c r="N131" s="40">
        <f>1</f>
        <v>1</v>
      </c>
      <c r="O131" s="62"/>
      <c r="P131" s="62"/>
      <c r="Q131" s="27">
        <f t="shared" si="4"/>
        <v>0</v>
      </c>
    </row>
    <row r="132" spans="1:17" s="3" customFormat="1" ht="30" x14ac:dyDescent="0.25">
      <c r="A132" s="66"/>
      <c r="B132" s="8" t="s">
        <v>74</v>
      </c>
      <c r="C132" s="48" t="s">
        <v>135</v>
      </c>
      <c r="D132" s="49" t="s">
        <v>146</v>
      </c>
      <c r="E132" s="50" t="s">
        <v>18</v>
      </c>
      <c r="F132" s="116" t="s">
        <v>258</v>
      </c>
      <c r="G132" s="23" t="s">
        <v>102</v>
      </c>
      <c r="H132" s="24">
        <v>1</v>
      </c>
      <c r="I132" s="25"/>
      <c r="J132" s="38"/>
      <c r="K132" s="26"/>
      <c r="L132" s="26"/>
      <c r="M132" s="62">
        <f t="shared" si="3"/>
        <v>0</v>
      </c>
      <c r="N132" s="40"/>
      <c r="O132" s="28"/>
      <c r="P132" s="28"/>
      <c r="Q132" s="69">
        <f t="shared" si="4"/>
        <v>0</v>
      </c>
    </row>
    <row r="133" spans="1:17" s="3" customFormat="1" ht="30" x14ac:dyDescent="0.25">
      <c r="A133" s="66"/>
      <c r="B133" s="8" t="s">
        <v>74</v>
      </c>
      <c r="C133" s="48" t="s">
        <v>135</v>
      </c>
      <c r="D133" s="49" t="s">
        <v>155</v>
      </c>
      <c r="E133" s="50" t="s">
        <v>18</v>
      </c>
      <c r="F133" s="22" t="s">
        <v>272</v>
      </c>
      <c r="G133" s="80" t="s">
        <v>106</v>
      </c>
      <c r="H133" s="48">
        <v>1</v>
      </c>
      <c r="I133" s="71"/>
      <c r="J133" s="38"/>
      <c r="K133" s="62"/>
      <c r="L133" s="62"/>
      <c r="M133" s="62">
        <f t="shared" si="3"/>
        <v>0</v>
      </c>
      <c r="N133" s="40">
        <v>2</v>
      </c>
      <c r="O133" s="62"/>
      <c r="P133" s="62"/>
      <c r="Q133" s="27">
        <f t="shared" si="4"/>
        <v>0</v>
      </c>
    </row>
    <row r="134" spans="1:17" s="3" customFormat="1" x14ac:dyDescent="0.25">
      <c r="A134" s="66"/>
      <c r="B134" s="11" t="s">
        <v>126</v>
      </c>
      <c r="C134" s="48" t="s">
        <v>17</v>
      </c>
      <c r="D134" s="49"/>
      <c r="E134" s="50" t="s">
        <v>32</v>
      </c>
      <c r="F134" s="113" t="s">
        <v>237</v>
      </c>
      <c r="G134" s="23" t="s">
        <v>102</v>
      </c>
      <c r="H134" s="24">
        <v>4</v>
      </c>
      <c r="I134" s="29"/>
      <c r="J134" s="37"/>
      <c r="K134" s="28"/>
      <c r="L134" s="28"/>
      <c r="M134" s="62">
        <f t="shared" si="3"/>
        <v>0</v>
      </c>
      <c r="N134" s="40">
        <f>3</f>
        <v>3</v>
      </c>
      <c r="O134" s="28">
        <f>2729.48</f>
        <v>2729.48</v>
      </c>
      <c r="P134" s="28">
        <f>2729.48</f>
        <v>2729.48</v>
      </c>
      <c r="Q134" s="69">
        <f t="shared" si="4"/>
        <v>0</v>
      </c>
    </row>
    <row r="135" spans="1:17" s="3" customFormat="1" x14ac:dyDescent="0.25">
      <c r="A135" s="66"/>
      <c r="B135" s="11" t="s">
        <v>126</v>
      </c>
      <c r="C135" s="48" t="s">
        <v>17</v>
      </c>
      <c r="D135" s="49"/>
      <c r="E135" s="50" t="s">
        <v>32</v>
      </c>
      <c r="F135" s="22"/>
      <c r="G135" s="67" t="s">
        <v>107</v>
      </c>
      <c r="H135" s="48">
        <v>2</v>
      </c>
      <c r="I135" s="68"/>
      <c r="J135" s="37"/>
      <c r="K135" s="26"/>
      <c r="L135" s="26"/>
      <c r="M135" s="62">
        <f t="shared" si="3"/>
        <v>0</v>
      </c>
      <c r="N135" s="40"/>
      <c r="O135" s="62"/>
      <c r="P135" s="62"/>
      <c r="Q135" s="27">
        <f t="shared" si="4"/>
        <v>0</v>
      </c>
    </row>
    <row r="136" spans="1:17" s="3" customFormat="1" x14ac:dyDescent="0.25">
      <c r="A136" s="66"/>
      <c r="B136" s="11" t="s">
        <v>75</v>
      </c>
      <c r="C136" s="48" t="s">
        <v>17</v>
      </c>
      <c r="D136" s="49"/>
      <c r="E136" s="50" t="s">
        <v>76</v>
      </c>
      <c r="F136" s="22"/>
      <c r="G136" s="23" t="s">
        <v>102</v>
      </c>
      <c r="H136" s="24"/>
      <c r="I136" s="25"/>
      <c r="J136" s="37"/>
      <c r="K136" s="26"/>
      <c r="L136" s="26"/>
      <c r="M136" s="62">
        <f t="shared" si="3"/>
        <v>0</v>
      </c>
      <c r="N136" s="40"/>
      <c r="O136" s="28"/>
      <c r="P136" s="28"/>
      <c r="Q136" s="69">
        <f t="shared" si="4"/>
        <v>0</v>
      </c>
    </row>
    <row r="137" spans="1:17" s="3" customFormat="1" x14ac:dyDescent="0.25">
      <c r="A137" s="66"/>
      <c r="B137" s="11" t="s">
        <v>75</v>
      </c>
      <c r="C137" s="48" t="s">
        <v>17</v>
      </c>
      <c r="D137" s="49"/>
      <c r="E137" s="50" t="s">
        <v>76</v>
      </c>
      <c r="F137" s="22"/>
      <c r="G137" s="67" t="s">
        <v>104</v>
      </c>
      <c r="H137" s="48"/>
      <c r="I137" s="68"/>
      <c r="J137" s="52"/>
      <c r="K137" s="26"/>
      <c r="L137" s="26"/>
      <c r="M137" s="62">
        <f t="shared" si="3"/>
        <v>0</v>
      </c>
      <c r="N137" s="40"/>
      <c r="O137" s="62"/>
      <c r="P137" s="62"/>
      <c r="Q137" s="69">
        <f t="shared" si="4"/>
        <v>0</v>
      </c>
    </row>
    <row r="138" spans="1:17" s="3" customFormat="1" x14ac:dyDescent="0.25">
      <c r="A138" s="66"/>
      <c r="B138" s="8" t="s">
        <v>77</v>
      </c>
      <c r="C138" s="48" t="s">
        <v>17</v>
      </c>
      <c r="D138" s="49"/>
      <c r="E138" s="50" t="s">
        <v>20</v>
      </c>
      <c r="F138" s="51" t="s">
        <v>205</v>
      </c>
      <c r="G138" s="23" t="s">
        <v>102</v>
      </c>
      <c r="H138" s="24"/>
      <c r="I138" s="25"/>
      <c r="J138" s="37"/>
      <c r="K138" s="26"/>
      <c r="L138" s="26"/>
      <c r="M138" s="62">
        <f t="shared" si="3"/>
        <v>0</v>
      </c>
      <c r="N138" s="40">
        <f>3+1</f>
        <v>4</v>
      </c>
      <c r="O138" s="26">
        <f>12560.94</f>
        <v>12560.94</v>
      </c>
      <c r="P138" s="26">
        <f>12560.94</f>
        <v>12560.94</v>
      </c>
      <c r="Q138" s="69">
        <f t="shared" si="4"/>
        <v>0</v>
      </c>
    </row>
    <row r="139" spans="1:17" s="3" customFormat="1" x14ac:dyDescent="0.25">
      <c r="A139" s="66"/>
      <c r="B139" s="8" t="s">
        <v>77</v>
      </c>
      <c r="C139" s="48" t="s">
        <v>17</v>
      </c>
      <c r="D139" s="49"/>
      <c r="E139" s="50" t="s">
        <v>20</v>
      </c>
      <c r="F139" s="22"/>
      <c r="G139" s="67" t="s">
        <v>104</v>
      </c>
      <c r="H139" s="48"/>
      <c r="I139" s="68"/>
      <c r="J139" s="52"/>
      <c r="K139" s="26"/>
      <c r="L139" s="26"/>
      <c r="M139" s="62">
        <f t="shared" si="3"/>
        <v>0</v>
      </c>
      <c r="N139" s="40">
        <f>2</f>
        <v>2</v>
      </c>
      <c r="O139" s="62"/>
      <c r="P139" s="62"/>
      <c r="Q139" s="69">
        <f t="shared" si="4"/>
        <v>0</v>
      </c>
    </row>
    <row r="140" spans="1:17" s="3" customFormat="1" x14ac:dyDescent="0.25">
      <c r="A140" s="66"/>
      <c r="B140" s="8" t="s">
        <v>138</v>
      </c>
      <c r="C140" s="48" t="s">
        <v>17</v>
      </c>
      <c r="D140" s="49"/>
      <c r="E140" s="50" t="s">
        <v>20</v>
      </c>
      <c r="F140" s="51" t="s">
        <v>206</v>
      </c>
      <c r="G140" s="67" t="s">
        <v>102</v>
      </c>
      <c r="H140" s="48"/>
      <c r="I140" s="68"/>
      <c r="J140" s="52"/>
      <c r="K140" s="26"/>
      <c r="L140" s="26"/>
      <c r="M140" s="62">
        <f t="shared" ref="M140:M194" si="5">K140-L140</f>
        <v>0</v>
      </c>
      <c r="N140" s="40">
        <f>2</f>
        <v>2</v>
      </c>
      <c r="O140" s="62">
        <f>4757.09</f>
        <v>4757.09</v>
      </c>
      <c r="P140" s="62">
        <f>4757.09</f>
        <v>4757.09</v>
      </c>
      <c r="Q140" s="69">
        <f t="shared" si="4"/>
        <v>0</v>
      </c>
    </row>
    <row r="141" spans="1:17" s="3" customFormat="1" x14ac:dyDescent="0.25">
      <c r="A141" s="66"/>
      <c r="B141" s="8" t="s">
        <v>127</v>
      </c>
      <c r="C141" s="48" t="s">
        <v>17</v>
      </c>
      <c r="D141" s="49"/>
      <c r="E141" s="50" t="s">
        <v>35</v>
      </c>
      <c r="F141" s="22"/>
      <c r="G141" s="23" t="s">
        <v>102</v>
      </c>
      <c r="H141" s="24"/>
      <c r="I141" s="25"/>
      <c r="J141" s="37"/>
      <c r="K141" s="26"/>
      <c r="L141" s="26"/>
      <c r="M141" s="62">
        <f t="shared" si="5"/>
        <v>0</v>
      </c>
      <c r="N141" s="40"/>
      <c r="O141" s="28"/>
      <c r="P141" s="28"/>
      <c r="Q141" s="69">
        <f t="shared" si="4"/>
        <v>0</v>
      </c>
    </row>
    <row r="142" spans="1:17" s="3" customFormat="1" x14ac:dyDescent="0.25">
      <c r="A142" s="66"/>
      <c r="B142" s="8" t="s">
        <v>78</v>
      </c>
      <c r="C142" s="48" t="s">
        <v>17</v>
      </c>
      <c r="D142" s="49"/>
      <c r="E142" s="50" t="s">
        <v>20</v>
      </c>
      <c r="F142" s="51" t="s">
        <v>207</v>
      </c>
      <c r="G142" s="23" t="s">
        <v>102</v>
      </c>
      <c r="H142" s="24">
        <v>1</v>
      </c>
      <c r="I142" s="25">
        <v>1</v>
      </c>
      <c r="J142" s="37">
        <f>1</f>
        <v>1</v>
      </c>
      <c r="K142" s="26">
        <f>826.09</f>
        <v>826.09</v>
      </c>
      <c r="L142" s="26">
        <f>826.09</f>
        <v>826.09</v>
      </c>
      <c r="M142" s="62">
        <f t="shared" si="5"/>
        <v>0</v>
      </c>
      <c r="N142" s="40">
        <f>3+1</f>
        <v>4</v>
      </c>
      <c r="O142" s="26">
        <f>3418.53+2486.42</f>
        <v>5904.9500000000007</v>
      </c>
      <c r="P142" s="26">
        <f>3418.53+2486.42</f>
        <v>5904.9500000000007</v>
      </c>
      <c r="Q142" s="69">
        <f t="shared" si="4"/>
        <v>0</v>
      </c>
    </row>
    <row r="143" spans="1:17" s="3" customFormat="1" x14ac:dyDescent="0.25">
      <c r="A143" s="66"/>
      <c r="B143" s="8" t="s">
        <v>78</v>
      </c>
      <c r="C143" s="48" t="s">
        <v>17</v>
      </c>
      <c r="D143" s="49"/>
      <c r="E143" s="50" t="s">
        <v>20</v>
      </c>
      <c r="F143" s="22"/>
      <c r="G143" s="67" t="s">
        <v>104</v>
      </c>
      <c r="H143" s="48">
        <v>2</v>
      </c>
      <c r="I143" s="68"/>
      <c r="J143" s="52"/>
      <c r="K143" s="26"/>
      <c r="L143" s="26"/>
      <c r="M143" s="62">
        <f t="shared" si="5"/>
        <v>0</v>
      </c>
      <c r="N143" s="40">
        <f>2</f>
        <v>2</v>
      </c>
      <c r="O143" s="62"/>
      <c r="P143" s="62"/>
      <c r="Q143" s="69">
        <f t="shared" si="4"/>
        <v>0</v>
      </c>
    </row>
    <row r="144" spans="1:17" s="3" customFormat="1" ht="45" x14ac:dyDescent="0.25">
      <c r="A144" s="66"/>
      <c r="B144" s="8" t="s">
        <v>79</v>
      </c>
      <c r="C144" s="48" t="s">
        <v>135</v>
      </c>
      <c r="D144" s="49" t="s">
        <v>149</v>
      </c>
      <c r="E144" s="50" t="s">
        <v>20</v>
      </c>
      <c r="F144" s="116" t="s">
        <v>259</v>
      </c>
      <c r="G144" s="23" t="s">
        <v>102</v>
      </c>
      <c r="H144" s="24">
        <v>1</v>
      </c>
      <c r="I144" s="25"/>
      <c r="J144" s="38"/>
      <c r="K144" s="26"/>
      <c r="L144" s="26"/>
      <c r="M144" s="62">
        <f t="shared" si="5"/>
        <v>0</v>
      </c>
      <c r="N144" s="40"/>
      <c r="O144" s="28"/>
      <c r="P144" s="28"/>
      <c r="Q144" s="27">
        <f t="shared" si="4"/>
        <v>0</v>
      </c>
    </row>
    <row r="145" spans="1:20" s="3" customFormat="1" x14ac:dyDescent="0.25">
      <c r="A145" s="66"/>
      <c r="B145" s="7" t="s">
        <v>80</v>
      </c>
      <c r="C145" s="48" t="s">
        <v>17</v>
      </c>
      <c r="D145" s="49"/>
      <c r="E145" s="54" t="s">
        <v>20</v>
      </c>
      <c r="F145" s="51" t="s">
        <v>208</v>
      </c>
      <c r="G145" s="23" t="s">
        <v>102</v>
      </c>
      <c r="H145" s="24">
        <v>1</v>
      </c>
      <c r="I145" s="25"/>
      <c r="J145" s="37"/>
      <c r="K145" s="26">
        <f>1171.87</f>
        <v>1171.8699999999999</v>
      </c>
      <c r="L145" s="26">
        <f>1171.87</f>
        <v>1171.8699999999999</v>
      </c>
      <c r="M145" s="62">
        <f t="shared" si="5"/>
        <v>0</v>
      </c>
      <c r="N145" s="40">
        <f>5</f>
        <v>5</v>
      </c>
      <c r="O145" s="28">
        <f>6754.23</f>
        <v>6754.23</v>
      </c>
      <c r="P145" s="28">
        <f>6754.23</f>
        <v>6754.23</v>
      </c>
      <c r="Q145" s="69">
        <f t="shared" si="4"/>
        <v>0</v>
      </c>
    </row>
    <row r="146" spans="1:20" s="3" customFormat="1" x14ac:dyDescent="0.25">
      <c r="A146" s="66"/>
      <c r="B146" s="7" t="s">
        <v>80</v>
      </c>
      <c r="C146" s="48" t="s">
        <v>17</v>
      </c>
      <c r="D146" s="49"/>
      <c r="E146" s="54" t="s">
        <v>20</v>
      </c>
      <c r="F146" s="22"/>
      <c r="G146" s="67" t="s">
        <v>104</v>
      </c>
      <c r="H146" s="48">
        <v>3</v>
      </c>
      <c r="I146" s="68"/>
      <c r="J146" s="52"/>
      <c r="K146" s="26"/>
      <c r="L146" s="26"/>
      <c r="M146" s="62">
        <f t="shared" si="5"/>
        <v>0</v>
      </c>
      <c r="N146" s="40"/>
      <c r="O146" s="62"/>
      <c r="P146" s="62"/>
      <c r="Q146" s="69">
        <f t="shared" si="4"/>
        <v>0</v>
      </c>
    </row>
    <row r="147" spans="1:20" s="3" customFormat="1" x14ac:dyDescent="0.25">
      <c r="A147" s="66"/>
      <c r="B147" s="7" t="s">
        <v>81</v>
      </c>
      <c r="C147" s="48" t="s">
        <v>17</v>
      </c>
      <c r="D147" s="49"/>
      <c r="E147" s="54" t="s">
        <v>20</v>
      </c>
      <c r="F147" s="51" t="s">
        <v>209</v>
      </c>
      <c r="G147" s="85" t="s">
        <v>102</v>
      </c>
      <c r="H147" s="48">
        <v>1</v>
      </c>
      <c r="I147" s="68"/>
      <c r="J147" s="52"/>
      <c r="K147" s="26"/>
      <c r="L147" s="26"/>
      <c r="M147" s="62">
        <f t="shared" si="5"/>
        <v>0</v>
      </c>
      <c r="N147" s="40"/>
      <c r="O147" s="62"/>
      <c r="P147" s="62"/>
      <c r="Q147" s="69"/>
    </row>
    <row r="148" spans="1:20" s="3" customFormat="1" x14ac:dyDescent="0.25">
      <c r="A148" s="66"/>
      <c r="B148" s="11" t="s">
        <v>139</v>
      </c>
      <c r="C148" s="48" t="s">
        <v>17</v>
      </c>
      <c r="D148" s="49"/>
      <c r="E148" s="54" t="s">
        <v>20</v>
      </c>
      <c r="F148" s="22"/>
      <c r="G148" s="23" t="s">
        <v>102</v>
      </c>
      <c r="H148" s="24"/>
      <c r="I148" s="25"/>
      <c r="J148" s="37"/>
      <c r="K148" s="26"/>
      <c r="L148" s="26"/>
      <c r="M148" s="62">
        <f t="shared" si="5"/>
        <v>0</v>
      </c>
      <c r="N148" s="40"/>
      <c r="O148" s="28"/>
      <c r="P148" s="28"/>
      <c r="Q148" s="69">
        <f t="shared" si="4"/>
        <v>0</v>
      </c>
    </row>
    <row r="149" spans="1:20" s="3" customFormat="1" x14ac:dyDescent="0.25">
      <c r="A149" s="66"/>
      <c r="B149" s="11" t="s">
        <v>139</v>
      </c>
      <c r="C149" s="48"/>
      <c r="D149" s="49"/>
      <c r="E149" s="54"/>
      <c r="F149" s="22"/>
      <c r="G149" s="23" t="s">
        <v>104</v>
      </c>
      <c r="H149" s="24"/>
      <c r="I149" s="25"/>
      <c r="J149" s="37"/>
      <c r="K149" s="26"/>
      <c r="L149" s="26"/>
      <c r="M149" s="62">
        <f t="shared" si="5"/>
        <v>0</v>
      </c>
      <c r="N149" s="40"/>
      <c r="O149" s="28"/>
      <c r="P149" s="28"/>
      <c r="Q149" s="69"/>
    </row>
    <row r="150" spans="1:20" s="3" customFormat="1" x14ac:dyDescent="0.25">
      <c r="A150" s="66"/>
      <c r="B150" s="11" t="s">
        <v>161</v>
      </c>
      <c r="C150" s="48" t="s">
        <v>17</v>
      </c>
      <c r="D150" s="49"/>
      <c r="E150" s="54" t="s">
        <v>20</v>
      </c>
      <c r="F150" s="51" t="s">
        <v>260</v>
      </c>
      <c r="G150" s="23" t="s">
        <v>102</v>
      </c>
      <c r="H150" s="24"/>
      <c r="I150" s="25"/>
      <c r="J150" s="37"/>
      <c r="K150" s="26"/>
      <c r="L150" s="26"/>
      <c r="M150" s="62">
        <f t="shared" si="5"/>
        <v>0</v>
      </c>
      <c r="N150" s="40">
        <f>1</f>
        <v>1</v>
      </c>
      <c r="O150" s="28">
        <f>419.4</f>
        <v>419.4</v>
      </c>
      <c r="P150" s="28">
        <f>419.4</f>
        <v>419.4</v>
      </c>
      <c r="Q150" s="69">
        <f t="shared" ref="Q150:Q195" si="6">O150-P150</f>
        <v>0</v>
      </c>
    </row>
    <row r="151" spans="1:20" s="3" customFormat="1" x14ac:dyDescent="0.25">
      <c r="A151" s="66"/>
      <c r="B151" s="11" t="s">
        <v>161</v>
      </c>
      <c r="C151" s="48" t="s">
        <v>17</v>
      </c>
      <c r="D151" s="49"/>
      <c r="E151" s="54" t="s">
        <v>20</v>
      </c>
      <c r="F151" s="22"/>
      <c r="G151" s="23" t="s">
        <v>104</v>
      </c>
      <c r="H151" s="24">
        <v>4</v>
      </c>
      <c r="I151" s="25"/>
      <c r="J151" s="37"/>
      <c r="K151" s="26"/>
      <c r="L151" s="26"/>
      <c r="M151" s="62">
        <f t="shared" si="5"/>
        <v>0</v>
      </c>
      <c r="N151" s="40">
        <f>7</f>
        <v>7</v>
      </c>
      <c r="O151" s="28"/>
      <c r="P151" s="28"/>
      <c r="Q151" s="69">
        <f t="shared" si="6"/>
        <v>0</v>
      </c>
    </row>
    <row r="152" spans="1:20" s="3" customFormat="1" x14ac:dyDescent="0.25">
      <c r="A152" s="66"/>
      <c r="B152" s="11" t="s">
        <v>168</v>
      </c>
      <c r="C152" s="48"/>
      <c r="D152" s="49"/>
      <c r="E152" s="54"/>
      <c r="F152" s="51" t="s">
        <v>210</v>
      </c>
      <c r="G152" s="23" t="s">
        <v>102</v>
      </c>
      <c r="H152" s="24">
        <v>3</v>
      </c>
      <c r="I152" s="25">
        <v>1</v>
      </c>
      <c r="J152" s="37">
        <f>1</f>
        <v>1</v>
      </c>
      <c r="K152" s="26">
        <v>3300.88</v>
      </c>
      <c r="L152" s="26">
        <v>3300.88</v>
      </c>
      <c r="M152" s="62">
        <f t="shared" si="5"/>
        <v>0</v>
      </c>
      <c r="N152" s="40">
        <f>2</f>
        <v>2</v>
      </c>
      <c r="O152" s="26">
        <v>7005.96</v>
      </c>
      <c r="P152" s="26">
        <v>7005.96</v>
      </c>
      <c r="Q152" s="69"/>
    </row>
    <row r="153" spans="1:20" s="3" customFormat="1" x14ac:dyDescent="0.25">
      <c r="A153" s="66"/>
      <c r="B153" s="11" t="s">
        <v>168</v>
      </c>
      <c r="C153" s="48"/>
      <c r="D153" s="49"/>
      <c r="E153" s="54"/>
      <c r="F153" s="22" t="s">
        <v>268</v>
      </c>
      <c r="G153" s="23" t="s">
        <v>106</v>
      </c>
      <c r="H153" s="24"/>
      <c r="I153" s="25"/>
      <c r="J153" s="37"/>
      <c r="K153" s="26"/>
      <c r="L153" s="26"/>
      <c r="M153" s="62">
        <f t="shared" si="5"/>
        <v>0</v>
      </c>
      <c r="N153" s="40"/>
      <c r="O153" s="28"/>
      <c r="P153" s="28"/>
      <c r="Q153" s="69"/>
    </row>
    <row r="154" spans="1:20" s="3" customFormat="1" x14ac:dyDescent="0.25">
      <c r="A154" s="66"/>
      <c r="B154" s="8" t="s">
        <v>82</v>
      </c>
      <c r="C154" s="48" t="s">
        <v>17</v>
      </c>
      <c r="D154" s="49"/>
      <c r="E154" s="50" t="s">
        <v>83</v>
      </c>
      <c r="F154" s="113" t="s">
        <v>231</v>
      </c>
      <c r="G154" s="23" t="s">
        <v>102</v>
      </c>
      <c r="H154" s="24">
        <v>16</v>
      </c>
      <c r="I154" s="25">
        <v>3</v>
      </c>
      <c r="J154" s="37">
        <f>3</f>
        <v>3</v>
      </c>
      <c r="K154" s="26">
        <f>3937.22</f>
        <v>3937.22</v>
      </c>
      <c r="L154" s="26">
        <f>3937.22</f>
        <v>3937.22</v>
      </c>
      <c r="M154" s="62">
        <f t="shared" si="5"/>
        <v>0</v>
      </c>
      <c r="N154" s="40">
        <f>8+4</f>
        <v>12</v>
      </c>
      <c r="O154" s="28">
        <f>13624.92</f>
        <v>13624.92</v>
      </c>
      <c r="P154" s="28">
        <f>13624.92</f>
        <v>13624.92</v>
      </c>
      <c r="Q154" s="27">
        <f t="shared" si="6"/>
        <v>0</v>
      </c>
    </row>
    <row r="155" spans="1:20" s="3" customFormat="1" x14ac:dyDescent="0.25">
      <c r="A155" s="66"/>
      <c r="B155" s="8" t="s">
        <v>82</v>
      </c>
      <c r="C155" s="48" t="s">
        <v>17</v>
      </c>
      <c r="D155" s="49"/>
      <c r="E155" s="50" t="s">
        <v>83</v>
      </c>
      <c r="F155" s="22" t="s">
        <v>266</v>
      </c>
      <c r="G155" s="67" t="s">
        <v>108</v>
      </c>
      <c r="H155" s="48">
        <v>1</v>
      </c>
      <c r="I155" s="68"/>
      <c r="J155" s="37"/>
      <c r="K155" s="26"/>
      <c r="L155" s="26"/>
      <c r="M155" s="62">
        <f t="shared" si="5"/>
        <v>0</v>
      </c>
      <c r="N155" s="40"/>
      <c r="O155" s="62"/>
      <c r="P155" s="62"/>
      <c r="Q155" s="69">
        <f t="shared" si="6"/>
        <v>0</v>
      </c>
      <c r="T155" s="106"/>
    </row>
    <row r="156" spans="1:20" s="3" customFormat="1" x14ac:dyDescent="0.25">
      <c r="A156" s="66"/>
      <c r="B156" s="8" t="s">
        <v>82</v>
      </c>
      <c r="C156" s="48" t="s">
        <v>17</v>
      </c>
      <c r="D156" s="49"/>
      <c r="E156" s="54" t="s">
        <v>164</v>
      </c>
      <c r="F156" s="22"/>
      <c r="G156" s="67" t="s">
        <v>104</v>
      </c>
      <c r="H156" s="48"/>
      <c r="I156" s="68"/>
      <c r="J156" s="37"/>
      <c r="K156" s="26"/>
      <c r="L156" s="26"/>
      <c r="M156" s="62">
        <f t="shared" si="5"/>
        <v>0</v>
      </c>
      <c r="N156" s="40"/>
      <c r="O156" s="62"/>
      <c r="P156" s="62"/>
      <c r="Q156" s="69">
        <f t="shared" si="6"/>
        <v>0</v>
      </c>
    </row>
    <row r="157" spans="1:20" s="3" customFormat="1" x14ac:dyDescent="0.25">
      <c r="A157" s="66"/>
      <c r="B157" s="8" t="s">
        <v>84</v>
      </c>
      <c r="C157" s="48" t="s">
        <v>17</v>
      </c>
      <c r="D157" s="49"/>
      <c r="E157" s="54" t="s">
        <v>20</v>
      </c>
      <c r="F157" s="51" t="s">
        <v>211</v>
      </c>
      <c r="G157" s="23" t="s">
        <v>102</v>
      </c>
      <c r="H157" s="24"/>
      <c r="I157" s="25"/>
      <c r="J157" s="37"/>
      <c r="K157" s="26"/>
      <c r="L157" s="26"/>
      <c r="M157" s="62">
        <f t="shared" si="5"/>
        <v>0</v>
      </c>
      <c r="N157" s="40">
        <f>3</f>
        <v>3</v>
      </c>
      <c r="O157" s="26">
        <f>4438.42+21110.16</f>
        <v>25548.58</v>
      </c>
      <c r="P157" s="26">
        <f>4438.42+21110.16</f>
        <v>25548.58</v>
      </c>
      <c r="Q157" s="27">
        <f t="shared" si="6"/>
        <v>0</v>
      </c>
    </row>
    <row r="158" spans="1:20" s="3" customFormat="1" x14ac:dyDescent="0.25">
      <c r="A158" s="66"/>
      <c r="B158" s="8" t="s">
        <v>84</v>
      </c>
      <c r="C158" s="48" t="s">
        <v>17</v>
      </c>
      <c r="D158" s="49"/>
      <c r="E158" s="54" t="s">
        <v>20</v>
      </c>
      <c r="F158" s="22"/>
      <c r="G158" s="67" t="s">
        <v>104</v>
      </c>
      <c r="H158" s="48">
        <v>1</v>
      </c>
      <c r="I158" s="68"/>
      <c r="J158" s="52"/>
      <c r="K158" s="26"/>
      <c r="L158" s="26"/>
      <c r="M158" s="62">
        <f t="shared" si="5"/>
        <v>0</v>
      </c>
      <c r="N158" s="40"/>
      <c r="O158" s="62"/>
      <c r="P158" s="62"/>
      <c r="Q158" s="69">
        <f t="shared" si="6"/>
        <v>0</v>
      </c>
    </row>
    <row r="159" spans="1:20" s="3" customFormat="1" x14ac:dyDescent="0.25">
      <c r="A159" s="66"/>
      <c r="B159" s="8" t="s">
        <v>85</v>
      </c>
      <c r="C159" s="48" t="s">
        <v>17</v>
      </c>
      <c r="D159" s="49"/>
      <c r="E159" s="54" t="s">
        <v>20</v>
      </c>
      <c r="F159" s="22"/>
      <c r="G159" s="23" t="s">
        <v>102</v>
      </c>
      <c r="H159" s="24"/>
      <c r="I159" s="25"/>
      <c r="J159" s="37"/>
      <c r="K159" s="26"/>
      <c r="L159" s="26"/>
      <c r="M159" s="62">
        <f t="shared" si="5"/>
        <v>0</v>
      </c>
      <c r="N159" s="40"/>
      <c r="O159" s="28"/>
      <c r="P159" s="28"/>
      <c r="Q159" s="27">
        <f t="shared" si="6"/>
        <v>0</v>
      </c>
    </row>
    <row r="160" spans="1:20" s="3" customFormat="1" x14ac:dyDescent="0.25">
      <c r="A160" s="66"/>
      <c r="B160" s="11" t="s">
        <v>117</v>
      </c>
      <c r="C160" s="48" t="s">
        <v>17</v>
      </c>
      <c r="D160" s="49"/>
      <c r="E160" s="54" t="s">
        <v>20</v>
      </c>
      <c r="F160" s="22"/>
      <c r="G160" s="67" t="s">
        <v>104</v>
      </c>
      <c r="H160" s="48"/>
      <c r="I160" s="68"/>
      <c r="J160" s="52"/>
      <c r="K160" s="53"/>
      <c r="L160" s="53"/>
      <c r="M160" s="62">
        <f t="shared" si="5"/>
        <v>0</v>
      </c>
      <c r="N160" s="43"/>
      <c r="O160" s="62"/>
      <c r="P160" s="62"/>
      <c r="Q160" s="69">
        <f t="shared" si="6"/>
        <v>0</v>
      </c>
    </row>
    <row r="161" spans="1:17" s="3" customFormat="1" x14ac:dyDescent="0.25">
      <c r="A161" s="66"/>
      <c r="B161" s="11" t="s">
        <v>117</v>
      </c>
      <c r="C161" s="48" t="s">
        <v>17</v>
      </c>
      <c r="D161" s="49"/>
      <c r="E161" s="54" t="s">
        <v>20</v>
      </c>
      <c r="F161" s="51" t="s">
        <v>212</v>
      </c>
      <c r="G161" s="23" t="s">
        <v>102</v>
      </c>
      <c r="H161" s="24">
        <v>2</v>
      </c>
      <c r="I161" s="29"/>
      <c r="J161" s="37"/>
      <c r="K161" s="26"/>
      <c r="L161" s="26"/>
      <c r="M161" s="62">
        <f t="shared" si="5"/>
        <v>0</v>
      </c>
      <c r="N161" s="40">
        <f>2</f>
        <v>2</v>
      </c>
      <c r="O161" s="26">
        <f>9561.8</f>
        <v>9561.7999999999993</v>
      </c>
      <c r="P161" s="26">
        <f>9561.8</f>
        <v>9561.7999999999993</v>
      </c>
      <c r="Q161" s="27">
        <f t="shared" si="6"/>
        <v>0</v>
      </c>
    </row>
    <row r="162" spans="1:17" s="3" customFormat="1" x14ac:dyDescent="0.25">
      <c r="A162" s="66"/>
      <c r="B162" s="11" t="s">
        <v>132</v>
      </c>
      <c r="C162" s="48" t="s">
        <v>17</v>
      </c>
      <c r="D162" s="49"/>
      <c r="E162" s="54" t="s">
        <v>20</v>
      </c>
      <c r="F162" s="51"/>
      <c r="G162" s="23" t="s">
        <v>102</v>
      </c>
      <c r="H162" s="24"/>
      <c r="I162" s="29"/>
      <c r="J162" s="37"/>
      <c r="K162" s="26"/>
      <c r="L162" s="26"/>
      <c r="M162" s="62">
        <f t="shared" si="5"/>
        <v>0</v>
      </c>
      <c r="N162" s="40"/>
      <c r="O162" s="28">
        <f>5722.65</f>
        <v>5722.65</v>
      </c>
      <c r="P162" s="28">
        <f>5722.65</f>
        <v>5722.65</v>
      </c>
      <c r="Q162" s="69">
        <f t="shared" si="6"/>
        <v>0</v>
      </c>
    </row>
    <row r="163" spans="1:17" s="3" customFormat="1" x14ac:dyDescent="0.25">
      <c r="A163" s="66"/>
      <c r="B163" s="11" t="s">
        <v>166</v>
      </c>
      <c r="C163" s="48" t="s">
        <v>17</v>
      </c>
      <c r="D163" s="49"/>
      <c r="E163" s="54" t="s">
        <v>20</v>
      </c>
      <c r="F163" s="51" t="s">
        <v>247</v>
      </c>
      <c r="G163" s="23" t="s">
        <v>102</v>
      </c>
      <c r="H163" s="24">
        <v>1</v>
      </c>
      <c r="I163" s="29"/>
      <c r="J163" s="37"/>
      <c r="K163" s="26"/>
      <c r="L163" s="26"/>
      <c r="M163" s="62">
        <f t="shared" si="5"/>
        <v>0</v>
      </c>
      <c r="N163" s="40">
        <f>3</f>
        <v>3</v>
      </c>
      <c r="O163" s="28"/>
      <c r="P163" s="28"/>
      <c r="Q163" s="69"/>
    </row>
    <row r="164" spans="1:17" s="4" customFormat="1" x14ac:dyDescent="0.25">
      <c r="A164" s="66"/>
      <c r="B164" s="11" t="s">
        <v>86</v>
      </c>
      <c r="C164" s="48" t="s">
        <v>17</v>
      </c>
      <c r="D164" s="49"/>
      <c r="E164" s="54" t="s">
        <v>20</v>
      </c>
      <c r="F164" s="51" t="s">
        <v>248</v>
      </c>
      <c r="G164" s="23" t="s">
        <v>102</v>
      </c>
      <c r="H164" s="24"/>
      <c r="I164" s="25"/>
      <c r="J164" s="37"/>
      <c r="K164" s="26"/>
      <c r="L164" s="26"/>
      <c r="M164" s="62">
        <f t="shared" si="5"/>
        <v>0</v>
      </c>
      <c r="N164" s="40">
        <f>1</f>
        <v>1</v>
      </c>
      <c r="O164" s="28"/>
      <c r="P164" s="28"/>
      <c r="Q164" s="69">
        <f t="shared" si="6"/>
        <v>0</v>
      </c>
    </row>
    <row r="165" spans="1:17" s="4" customFormat="1" x14ac:dyDescent="0.25">
      <c r="A165" s="66"/>
      <c r="B165" s="11" t="s">
        <v>86</v>
      </c>
      <c r="C165" s="48" t="s">
        <v>17</v>
      </c>
      <c r="D165" s="49"/>
      <c r="E165" s="54" t="s">
        <v>20</v>
      </c>
      <c r="F165" s="22"/>
      <c r="G165" s="67" t="s">
        <v>104</v>
      </c>
      <c r="H165" s="48"/>
      <c r="I165" s="68"/>
      <c r="J165" s="52"/>
      <c r="K165" s="26"/>
      <c r="L165" s="26"/>
      <c r="M165" s="62">
        <f t="shared" si="5"/>
        <v>0</v>
      </c>
      <c r="N165" s="43"/>
      <c r="O165" s="62"/>
      <c r="P165" s="62"/>
      <c r="Q165" s="69">
        <f t="shared" si="6"/>
        <v>0</v>
      </c>
    </row>
    <row r="166" spans="1:17" s="4" customFormat="1" x14ac:dyDescent="0.25">
      <c r="A166" s="66"/>
      <c r="B166" s="11" t="s">
        <v>173</v>
      </c>
      <c r="C166" s="48"/>
      <c r="D166" s="49"/>
      <c r="E166" s="54"/>
      <c r="F166" s="116" t="s">
        <v>261</v>
      </c>
      <c r="G166" s="96" t="s">
        <v>102</v>
      </c>
      <c r="H166" s="48">
        <v>3</v>
      </c>
      <c r="I166" s="68"/>
      <c r="J166" s="52"/>
      <c r="K166" s="26"/>
      <c r="L166" s="26"/>
      <c r="M166" s="62"/>
      <c r="N166" s="43"/>
      <c r="O166" s="62"/>
      <c r="P166" s="62"/>
      <c r="Q166" s="69"/>
    </row>
    <row r="167" spans="1:17" s="3" customFormat="1" x14ac:dyDescent="0.25">
      <c r="A167" s="66"/>
      <c r="B167" s="8" t="s">
        <v>89</v>
      </c>
      <c r="C167" s="48" t="s">
        <v>17</v>
      </c>
      <c r="D167" s="49"/>
      <c r="E167" s="54" t="s">
        <v>20</v>
      </c>
      <c r="F167" s="51" t="s">
        <v>213</v>
      </c>
      <c r="G167" s="23" t="s">
        <v>102</v>
      </c>
      <c r="H167" s="24">
        <v>3</v>
      </c>
      <c r="I167" s="25"/>
      <c r="J167" s="37"/>
      <c r="K167" s="26"/>
      <c r="L167" s="26"/>
      <c r="M167" s="62">
        <f t="shared" si="5"/>
        <v>0</v>
      </c>
      <c r="N167" s="40">
        <f>3</f>
        <v>3</v>
      </c>
      <c r="O167" s="26">
        <f>10850.36</f>
        <v>10850.36</v>
      </c>
      <c r="P167" s="26">
        <f>10850.36</f>
        <v>10850.36</v>
      </c>
      <c r="Q167" s="27">
        <f t="shared" si="6"/>
        <v>0</v>
      </c>
    </row>
    <row r="168" spans="1:17" s="3" customFormat="1" x14ac:dyDescent="0.25">
      <c r="A168" s="66"/>
      <c r="B168" s="8" t="s">
        <v>89</v>
      </c>
      <c r="C168" s="48" t="s">
        <v>17</v>
      </c>
      <c r="D168" s="49"/>
      <c r="E168" s="54" t="s">
        <v>20</v>
      </c>
      <c r="F168" s="22"/>
      <c r="G168" s="67" t="s">
        <v>104</v>
      </c>
      <c r="H168" s="48">
        <v>1</v>
      </c>
      <c r="I168" s="68"/>
      <c r="J168" s="52"/>
      <c r="K168" s="26"/>
      <c r="L168" s="26"/>
      <c r="M168" s="62">
        <f t="shared" si="5"/>
        <v>0</v>
      </c>
      <c r="N168" s="40"/>
      <c r="O168" s="62"/>
      <c r="P168" s="62"/>
      <c r="Q168" s="69">
        <f t="shared" si="6"/>
        <v>0</v>
      </c>
    </row>
    <row r="169" spans="1:17" s="3" customFormat="1" x14ac:dyDescent="0.25">
      <c r="A169" s="66"/>
      <c r="B169" s="8" t="s">
        <v>90</v>
      </c>
      <c r="C169" s="48" t="s">
        <v>17</v>
      </c>
      <c r="D169" s="49"/>
      <c r="E169" s="54" t="s">
        <v>91</v>
      </c>
      <c r="F169" s="22"/>
      <c r="G169" s="23" t="s">
        <v>102</v>
      </c>
      <c r="H169" s="24"/>
      <c r="I169" s="25"/>
      <c r="J169" s="37"/>
      <c r="K169" s="26"/>
      <c r="L169" s="26"/>
      <c r="M169" s="62">
        <f t="shared" si="5"/>
        <v>0</v>
      </c>
      <c r="N169" s="95">
        <f>4</f>
        <v>4</v>
      </c>
      <c r="O169" s="26"/>
      <c r="P169" s="26"/>
      <c r="Q169" s="27">
        <f t="shared" si="6"/>
        <v>0</v>
      </c>
    </row>
    <row r="170" spans="1:17" s="3" customFormat="1" x14ac:dyDescent="0.25">
      <c r="A170" s="66"/>
      <c r="B170" s="8" t="s">
        <v>90</v>
      </c>
      <c r="C170" s="48" t="s">
        <v>17</v>
      </c>
      <c r="D170" s="49"/>
      <c r="E170" s="54" t="s">
        <v>91</v>
      </c>
      <c r="F170" s="22"/>
      <c r="G170" s="67" t="s">
        <v>104</v>
      </c>
      <c r="H170" s="48"/>
      <c r="I170" s="68"/>
      <c r="J170" s="52"/>
      <c r="K170" s="26"/>
      <c r="L170" s="26"/>
      <c r="M170" s="62">
        <f t="shared" si="5"/>
        <v>0</v>
      </c>
      <c r="N170" s="40"/>
      <c r="O170" s="62"/>
      <c r="P170" s="62"/>
      <c r="Q170" s="69">
        <f t="shared" si="6"/>
        <v>0</v>
      </c>
    </row>
    <row r="171" spans="1:17" s="3" customFormat="1" x14ac:dyDescent="0.25">
      <c r="A171" s="66"/>
      <c r="B171" s="8" t="s">
        <v>92</v>
      </c>
      <c r="C171" s="48" t="s">
        <v>17</v>
      </c>
      <c r="D171" s="49"/>
      <c r="E171" s="54" t="s">
        <v>35</v>
      </c>
      <c r="F171" s="113" t="s">
        <v>232</v>
      </c>
      <c r="G171" s="23" t="s">
        <v>102</v>
      </c>
      <c r="H171" s="24">
        <v>3</v>
      </c>
      <c r="I171" s="25"/>
      <c r="J171" s="37"/>
      <c r="K171" s="26"/>
      <c r="L171" s="26"/>
      <c r="M171" s="62">
        <f t="shared" si="5"/>
        <v>0</v>
      </c>
      <c r="N171" s="40">
        <f>10+3</f>
        <v>13</v>
      </c>
      <c r="O171" s="28">
        <f>21161.95</f>
        <v>21161.95</v>
      </c>
      <c r="P171" s="28">
        <f>21161.95</f>
        <v>21161.95</v>
      </c>
      <c r="Q171" s="27">
        <f t="shared" si="6"/>
        <v>0</v>
      </c>
    </row>
    <row r="172" spans="1:17" s="3" customFormat="1" x14ac:dyDescent="0.25">
      <c r="A172" s="66"/>
      <c r="B172" s="8" t="s">
        <v>92</v>
      </c>
      <c r="C172" s="48" t="s">
        <v>17</v>
      </c>
      <c r="D172" s="49"/>
      <c r="E172" s="54" t="s">
        <v>35</v>
      </c>
      <c r="F172" s="22"/>
      <c r="G172" s="72" t="s">
        <v>107</v>
      </c>
      <c r="H172" s="48"/>
      <c r="I172" s="68"/>
      <c r="J172" s="37"/>
      <c r="K172" s="26"/>
      <c r="L172" s="26"/>
      <c r="M172" s="62">
        <f t="shared" si="5"/>
        <v>0</v>
      </c>
      <c r="N172" s="40">
        <f>1</f>
        <v>1</v>
      </c>
      <c r="O172" s="26">
        <v>1387.32</v>
      </c>
      <c r="P172" s="26">
        <v>1387.32</v>
      </c>
      <c r="Q172" s="69">
        <f t="shared" si="6"/>
        <v>0</v>
      </c>
    </row>
    <row r="173" spans="1:17" s="3" customFormat="1" x14ac:dyDescent="0.25">
      <c r="A173" s="66"/>
      <c r="B173" s="8" t="s">
        <v>156</v>
      </c>
      <c r="C173" s="48" t="s">
        <v>17</v>
      </c>
      <c r="D173" s="49"/>
      <c r="E173" s="54" t="s">
        <v>91</v>
      </c>
      <c r="F173" s="22"/>
      <c r="G173" s="72" t="s">
        <v>102</v>
      </c>
      <c r="H173" s="48"/>
      <c r="I173" s="68"/>
      <c r="J173" s="37"/>
      <c r="K173" s="26"/>
      <c r="L173" s="26"/>
      <c r="M173" s="62">
        <f t="shared" si="5"/>
        <v>0</v>
      </c>
      <c r="N173" s="40"/>
      <c r="O173" s="26"/>
      <c r="P173" s="26"/>
      <c r="Q173" s="69"/>
    </row>
    <row r="174" spans="1:17" s="4" customFormat="1" x14ac:dyDescent="0.25">
      <c r="A174" s="66"/>
      <c r="B174" s="8" t="s">
        <v>93</v>
      </c>
      <c r="C174" s="48" t="s">
        <v>17</v>
      </c>
      <c r="D174" s="49"/>
      <c r="E174" s="50" t="s">
        <v>32</v>
      </c>
      <c r="F174" s="22"/>
      <c r="G174" s="23" t="s">
        <v>102</v>
      </c>
      <c r="H174" s="24"/>
      <c r="I174" s="25"/>
      <c r="J174" s="37"/>
      <c r="K174" s="26"/>
      <c r="L174" s="26"/>
      <c r="M174" s="62">
        <f t="shared" si="5"/>
        <v>0</v>
      </c>
      <c r="N174" s="40"/>
      <c r="O174" s="28"/>
      <c r="P174" s="28"/>
      <c r="Q174" s="27">
        <f t="shared" si="6"/>
        <v>0</v>
      </c>
    </row>
    <row r="175" spans="1:17" s="4" customFormat="1" x14ac:dyDescent="0.25">
      <c r="A175" s="66"/>
      <c r="B175" s="8" t="s">
        <v>93</v>
      </c>
      <c r="C175" s="48" t="s">
        <v>17</v>
      </c>
      <c r="D175" s="49"/>
      <c r="E175" s="50" t="s">
        <v>32</v>
      </c>
      <c r="F175" s="22"/>
      <c r="G175" s="72" t="s">
        <v>107</v>
      </c>
      <c r="H175" s="48"/>
      <c r="I175" s="68"/>
      <c r="J175" s="52"/>
      <c r="K175" s="26"/>
      <c r="L175" s="26"/>
      <c r="M175" s="62">
        <f t="shared" si="5"/>
        <v>0</v>
      </c>
      <c r="N175" s="43"/>
      <c r="O175" s="26"/>
      <c r="P175" s="26"/>
      <c r="Q175" s="69">
        <f t="shared" si="6"/>
        <v>0</v>
      </c>
    </row>
    <row r="176" spans="1:17" s="4" customFormat="1" ht="30" x14ac:dyDescent="0.25">
      <c r="A176" s="66"/>
      <c r="B176" s="8" t="s">
        <v>119</v>
      </c>
      <c r="C176" s="48" t="s">
        <v>135</v>
      </c>
      <c r="D176" s="49" t="s">
        <v>140</v>
      </c>
      <c r="E176" s="54" t="s">
        <v>91</v>
      </c>
      <c r="F176" s="114" t="s">
        <v>214</v>
      </c>
      <c r="G176" s="117" t="s">
        <v>102</v>
      </c>
      <c r="H176" s="24">
        <v>3</v>
      </c>
      <c r="I176" s="25">
        <v>1</v>
      </c>
      <c r="J176" s="38">
        <f>1</f>
        <v>1</v>
      </c>
      <c r="K176" s="26">
        <f>3659.92</f>
        <v>3659.92</v>
      </c>
      <c r="L176" s="26">
        <f>3659.92</f>
        <v>3659.92</v>
      </c>
      <c r="M176" s="62">
        <f t="shared" si="5"/>
        <v>0</v>
      </c>
      <c r="N176" s="40">
        <f>7+1</f>
        <v>8</v>
      </c>
      <c r="O176" s="26">
        <f>12026.44</f>
        <v>12026.44</v>
      </c>
      <c r="P176" s="26">
        <f>12026.44</f>
        <v>12026.44</v>
      </c>
      <c r="Q176" s="27">
        <f t="shared" si="6"/>
        <v>0</v>
      </c>
    </row>
    <row r="177" spans="1:20" s="4" customFormat="1" x14ac:dyDescent="0.25">
      <c r="A177" s="66"/>
      <c r="B177" s="8" t="s">
        <v>156</v>
      </c>
      <c r="C177" s="48"/>
      <c r="D177" s="49"/>
      <c r="E177" s="54"/>
      <c r="F177" s="22"/>
      <c r="G177" s="15" t="s">
        <v>104</v>
      </c>
      <c r="H177" s="24"/>
      <c r="I177" s="25"/>
      <c r="J177" s="38"/>
      <c r="K177" s="26"/>
      <c r="L177" s="26"/>
      <c r="M177" s="62">
        <f t="shared" si="5"/>
        <v>0</v>
      </c>
      <c r="N177" s="40">
        <f>5</f>
        <v>5</v>
      </c>
      <c r="O177" s="26"/>
      <c r="P177" s="26"/>
      <c r="Q177" s="69">
        <f t="shared" si="6"/>
        <v>0</v>
      </c>
    </row>
    <row r="178" spans="1:20" s="4" customFormat="1" x14ac:dyDescent="0.25">
      <c r="A178" s="66"/>
      <c r="B178" s="8" t="s">
        <v>173</v>
      </c>
      <c r="C178" s="48"/>
      <c r="D178" s="49"/>
      <c r="E178" s="54" t="s">
        <v>18</v>
      </c>
      <c r="F178" s="22" t="s">
        <v>268</v>
      </c>
      <c r="G178" s="15" t="s">
        <v>106</v>
      </c>
      <c r="H178" s="24">
        <v>2</v>
      </c>
      <c r="I178" s="25"/>
      <c r="J178" s="38"/>
      <c r="K178" s="26"/>
      <c r="L178" s="26"/>
      <c r="M178" s="62">
        <f t="shared" si="5"/>
        <v>0</v>
      </c>
      <c r="N178" s="40"/>
      <c r="O178" s="26"/>
      <c r="P178" s="26"/>
      <c r="Q178" s="69"/>
    </row>
    <row r="179" spans="1:20" s="4" customFormat="1" x14ac:dyDescent="0.25">
      <c r="A179" s="66"/>
      <c r="B179" s="8" t="s">
        <v>156</v>
      </c>
      <c r="C179" s="48"/>
      <c r="D179" s="49"/>
      <c r="E179" s="54"/>
      <c r="F179" s="22" t="s">
        <v>268</v>
      </c>
      <c r="G179" s="15" t="s">
        <v>106</v>
      </c>
      <c r="H179" s="24"/>
      <c r="I179" s="25"/>
      <c r="J179" s="38"/>
      <c r="K179" s="26"/>
      <c r="L179" s="26"/>
      <c r="M179" s="62">
        <f t="shared" si="5"/>
        <v>0</v>
      </c>
      <c r="N179" s="40"/>
      <c r="O179" s="26"/>
      <c r="P179" s="26"/>
      <c r="Q179" s="27"/>
    </row>
    <row r="180" spans="1:20" s="4" customFormat="1" ht="30" x14ac:dyDescent="0.25">
      <c r="A180" s="66"/>
      <c r="B180" s="75" t="s">
        <v>119</v>
      </c>
      <c r="C180" s="48" t="s">
        <v>152</v>
      </c>
      <c r="D180" s="49" t="s">
        <v>140</v>
      </c>
      <c r="E180" s="50" t="s">
        <v>20</v>
      </c>
      <c r="F180" s="22"/>
      <c r="G180" s="72" t="s">
        <v>104</v>
      </c>
      <c r="H180" s="48">
        <v>8</v>
      </c>
      <c r="I180" s="71"/>
      <c r="J180" s="55"/>
      <c r="K180" s="26"/>
      <c r="L180" s="26"/>
      <c r="M180" s="62">
        <f t="shared" si="5"/>
        <v>0</v>
      </c>
      <c r="N180" s="40">
        <f>6</f>
        <v>6</v>
      </c>
      <c r="O180" s="62"/>
      <c r="P180" s="62"/>
      <c r="Q180" s="69">
        <f t="shared" ref="Q180" si="7">O180-P180</f>
        <v>0</v>
      </c>
    </row>
    <row r="181" spans="1:20" s="6" customFormat="1" ht="45" x14ac:dyDescent="0.25">
      <c r="A181" s="48"/>
      <c r="B181" s="8" t="s">
        <v>94</v>
      </c>
      <c r="C181" s="48" t="s">
        <v>135</v>
      </c>
      <c r="D181" s="49" t="s">
        <v>150</v>
      </c>
      <c r="E181" s="54" t="s">
        <v>20</v>
      </c>
      <c r="F181" s="118" t="s">
        <v>233</v>
      </c>
      <c r="G181" s="7" t="s">
        <v>102</v>
      </c>
      <c r="H181" s="24">
        <v>1</v>
      </c>
      <c r="I181" s="25"/>
      <c r="J181" s="38"/>
      <c r="K181" s="30"/>
      <c r="L181" s="30"/>
      <c r="M181" s="62">
        <f t="shared" si="5"/>
        <v>0</v>
      </c>
      <c r="N181" s="40">
        <f>4</f>
        <v>4</v>
      </c>
      <c r="O181" s="30">
        <f>13763.29</f>
        <v>13763.29</v>
      </c>
      <c r="P181" s="30">
        <f>13763.29</f>
        <v>13763.29</v>
      </c>
      <c r="Q181" s="27">
        <f t="shared" si="6"/>
        <v>0</v>
      </c>
    </row>
    <row r="182" spans="1:20" s="6" customFormat="1" ht="60" x14ac:dyDescent="0.25">
      <c r="A182" s="48"/>
      <c r="B182" s="8" t="s">
        <v>94</v>
      </c>
      <c r="C182" s="56" t="s">
        <v>110</v>
      </c>
      <c r="D182" s="49" t="s">
        <v>111</v>
      </c>
      <c r="E182" s="54" t="s">
        <v>20</v>
      </c>
      <c r="F182" s="22"/>
      <c r="G182" s="73" t="s">
        <v>104</v>
      </c>
      <c r="H182" s="48">
        <v>1</v>
      </c>
      <c r="I182" s="71"/>
      <c r="J182" s="55"/>
      <c r="K182" s="30"/>
      <c r="L182" s="30"/>
      <c r="M182" s="62">
        <f t="shared" si="5"/>
        <v>0</v>
      </c>
      <c r="N182" s="40"/>
      <c r="O182" s="76"/>
      <c r="P182" s="76"/>
      <c r="Q182" s="69">
        <f t="shared" si="6"/>
        <v>0</v>
      </c>
    </row>
    <row r="183" spans="1:20" s="3" customFormat="1" x14ac:dyDescent="0.25">
      <c r="A183" s="66"/>
      <c r="B183" s="11" t="s">
        <v>95</v>
      </c>
      <c r="C183" s="48" t="s">
        <v>17</v>
      </c>
      <c r="D183" s="49"/>
      <c r="E183" s="54" t="s">
        <v>20</v>
      </c>
      <c r="F183" s="51" t="s">
        <v>215</v>
      </c>
      <c r="G183" s="23" t="s">
        <v>102</v>
      </c>
      <c r="H183" s="24">
        <v>1</v>
      </c>
      <c r="I183" s="25"/>
      <c r="J183" s="37"/>
      <c r="K183" s="26"/>
      <c r="L183" s="26"/>
      <c r="M183" s="62">
        <f t="shared" si="5"/>
        <v>0</v>
      </c>
      <c r="N183" s="40">
        <f>5+1+1</f>
        <v>7</v>
      </c>
      <c r="O183" s="26">
        <f>23349.15+462.44</f>
        <v>23811.59</v>
      </c>
      <c r="P183" s="26">
        <f>23349.15+462.44</f>
        <v>23811.59</v>
      </c>
      <c r="Q183" s="27">
        <f t="shared" si="6"/>
        <v>0</v>
      </c>
    </row>
    <row r="184" spans="1:20" s="3" customFormat="1" x14ac:dyDescent="0.25">
      <c r="A184" s="66"/>
      <c r="B184" s="11" t="s">
        <v>121</v>
      </c>
      <c r="C184" s="48" t="s">
        <v>17</v>
      </c>
      <c r="D184" s="49"/>
      <c r="E184" s="54" t="s">
        <v>20</v>
      </c>
      <c r="F184" s="113" t="s">
        <v>234</v>
      </c>
      <c r="G184" s="23" t="s">
        <v>102</v>
      </c>
      <c r="H184" s="24">
        <v>2</v>
      </c>
      <c r="I184" s="25"/>
      <c r="J184" s="37"/>
      <c r="K184" s="26"/>
      <c r="L184" s="26"/>
      <c r="M184" s="62">
        <f t="shared" si="5"/>
        <v>0</v>
      </c>
      <c r="N184" s="40">
        <f>1+7</f>
        <v>8</v>
      </c>
      <c r="O184" s="28">
        <f>2717.8</f>
        <v>2717.8</v>
      </c>
      <c r="P184" s="28">
        <f>2717.8</f>
        <v>2717.8</v>
      </c>
      <c r="Q184" s="69">
        <f t="shared" si="6"/>
        <v>0</v>
      </c>
    </row>
    <row r="185" spans="1:20" s="3" customFormat="1" x14ac:dyDescent="0.25">
      <c r="A185" s="66"/>
      <c r="B185" s="11" t="s">
        <v>121</v>
      </c>
      <c r="C185" s="48" t="s">
        <v>17</v>
      </c>
      <c r="D185" s="49"/>
      <c r="E185" s="50" t="s">
        <v>21</v>
      </c>
      <c r="F185" s="22" t="s">
        <v>267</v>
      </c>
      <c r="G185" s="67" t="s">
        <v>108</v>
      </c>
      <c r="H185" s="48"/>
      <c r="I185" s="71"/>
      <c r="J185" s="52"/>
      <c r="K185" s="53"/>
      <c r="L185" s="53"/>
      <c r="M185" s="62">
        <f t="shared" si="5"/>
        <v>0</v>
      </c>
      <c r="N185" s="43">
        <v>1</v>
      </c>
      <c r="O185" s="62">
        <v>630.79999999999995</v>
      </c>
      <c r="P185" s="62">
        <v>630.79999999999995</v>
      </c>
      <c r="Q185" s="27">
        <f t="shared" si="6"/>
        <v>0</v>
      </c>
      <c r="T185" s="106"/>
    </row>
    <row r="186" spans="1:20" s="3" customFormat="1" x14ac:dyDescent="0.25">
      <c r="A186" s="66"/>
      <c r="B186" s="7" t="s">
        <v>96</v>
      </c>
      <c r="C186" s="48" t="s">
        <v>17</v>
      </c>
      <c r="D186" s="49"/>
      <c r="E186" s="54" t="s">
        <v>20</v>
      </c>
      <c r="F186" s="51" t="s">
        <v>216</v>
      </c>
      <c r="G186" s="23" t="s">
        <v>102</v>
      </c>
      <c r="H186" s="24">
        <v>2</v>
      </c>
      <c r="I186" s="25"/>
      <c r="J186" s="37"/>
      <c r="K186" s="26"/>
      <c r="L186" s="26"/>
      <c r="M186" s="62">
        <f t="shared" si="5"/>
        <v>0</v>
      </c>
      <c r="N186" s="40">
        <f>2</f>
        <v>2</v>
      </c>
      <c r="O186" s="26">
        <f>7639.96</f>
        <v>7639.96</v>
      </c>
      <c r="P186" s="26">
        <f>7639.96</f>
        <v>7639.96</v>
      </c>
      <c r="Q186" s="69">
        <f t="shared" si="6"/>
        <v>0</v>
      </c>
    </row>
    <row r="187" spans="1:20" s="3" customFormat="1" x14ac:dyDescent="0.25">
      <c r="A187" s="66"/>
      <c r="B187" s="7" t="s">
        <v>96</v>
      </c>
      <c r="C187" s="48" t="s">
        <v>17</v>
      </c>
      <c r="D187" s="49"/>
      <c r="E187" s="54" t="s">
        <v>20</v>
      </c>
      <c r="F187" s="22"/>
      <c r="G187" s="67" t="s">
        <v>104</v>
      </c>
      <c r="H187" s="48"/>
      <c r="I187" s="68"/>
      <c r="J187" s="52"/>
      <c r="K187" s="26"/>
      <c r="L187" s="26"/>
      <c r="M187" s="62">
        <f t="shared" si="5"/>
        <v>0</v>
      </c>
      <c r="N187" s="40"/>
      <c r="O187" s="62"/>
      <c r="P187" s="62"/>
      <c r="Q187" s="69">
        <f t="shared" si="6"/>
        <v>0</v>
      </c>
    </row>
    <row r="188" spans="1:20" s="3" customFormat="1" x14ac:dyDescent="0.25">
      <c r="A188" s="66"/>
      <c r="B188" s="7" t="s">
        <v>97</v>
      </c>
      <c r="C188" s="48" t="s">
        <v>17</v>
      </c>
      <c r="D188" s="49"/>
      <c r="E188" s="50" t="s">
        <v>20</v>
      </c>
      <c r="F188" s="51" t="s">
        <v>217</v>
      </c>
      <c r="G188" s="23" t="s">
        <v>102</v>
      </c>
      <c r="H188" s="24">
        <v>2</v>
      </c>
      <c r="I188" s="25"/>
      <c r="J188" s="37"/>
      <c r="K188" s="26"/>
      <c r="L188" s="26"/>
      <c r="M188" s="62">
        <f t="shared" si="5"/>
        <v>0</v>
      </c>
      <c r="N188" s="40"/>
      <c r="O188" s="26">
        <f>2917.82</f>
        <v>2917.82</v>
      </c>
      <c r="P188" s="26">
        <f>2917.82</f>
        <v>2917.82</v>
      </c>
      <c r="Q188" s="69">
        <f t="shared" si="6"/>
        <v>0</v>
      </c>
    </row>
    <row r="189" spans="1:20" s="3" customFormat="1" x14ac:dyDescent="0.25">
      <c r="A189" s="66"/>
      <c r="B189" s="7" t="s">
        <v>97</v>
      </c>
      <c r="C189" s="48" t="s">
        <v>17</v>
      </c>
      <c r="D189" s="49"/>
      <c r="E189" s="50" t="s">
        <v>20</v>
      </c>
      <c r="F189" s="22"/>
      <c r="G189" s="67" t="s">
        <v>104</v>
      </c>
      <c r="H189" s="48">
        <v>1</v>
      </c>
      <c r="I189" s="68"/>
      <c r="J189" s="52"/>
      <c r="K189" s="26"/>
      <c r="L189" s="26"/>
      <c r="M189" s="62">
        <f t="shared" si="5"/>
        <v>0</v>
      </c>
      <c r="N189" s="40">
        <f>1</f>
        <v>1</v>
      </c>
      <c r="O189" s="62"/>
      <c r="P189" s="62"/>
      <c r="Q189" s="69">
        <f t="shared" si="6"/>
        <v>0</v>
      </c>
    </row>
    <row r="190" spans="1:20" s="4" customFormat="1" x14ac:dyDescent="0.25">
      <c r="A190" s="66"/>
      <c r="B190" s="7" t="s">
        <v>98</v>
      </c>
      <c r="C190" s="48" t="s">
        <v>17</v>
      </c>
      <c r="D190" s="49"/>
      <c r="E190" s="50" t="s">
        <v>20</v>
      </c>
      <c r="F190" s="51" t="s">
        <v>218</v>
      </c>
      <c r="G190" s="23" t="s">
        <v>102</v>
      </c>
      <c r="H190" s="24">
        <v>3</v>
      </c>
      <c r="I190" s="25">
        <v>1</v>
      </c>
      <c r="J190" s="37">
        <f>1</f>
        <v>1</v>
      </c>
      <c r="K190" s="26"/>
      <c r="L190" s="26"/>
      <c r="M190" s="62">
        <f t="shared" si="5"/>
        <v>0</v>
      </c>
      <c r="N190" s="40">
        <f>2+3</f>
        <v>5</v>
      </c>
      <c r="O190" s="26">
        <f>6871.77+26150.98</f>
        <v>33022.75</v>
      </c>
      <c r="P190" s="26">
        <f>6871.77+26150.98</f>
        <v>33022.75</v>
      </c>
      <c r="Q190" s="69">
        <f t="shared" si="6"/>
        <v>0</v>
      </c>
    </row>
    <row r="191" spans="1:20" s="4" customFormat="1" x14ac:dyDescent="0.25">
      <c r="A191" s="66"/>
      <c r="B191" s="7" t="s">
        <v>98</v>
      </c>
      <c r="C191" s="48" t="s">
        <v>17</v>
      </c>
      <c r="D191" s="49"/>
      <c r="E191" s="50" t="s">
        <v>20</v>
      </c>
      <c r="F191" s="22"/>
      <c r="G191" s="67" t="s">
        <v>104</v>
      </c>
      <c r="H191" s="48">
        <v>3</v>
      </c>
      <c r="I191" s="68"/>
      <c r="J191" s="52"/>
      <c r="K191" s="26"/>
      <c r="L191" s="26"/>
      <c r="M191" s="62">
        <f t="shared" si="5"/>
        <v>0</v>
      </c>
      <c r="N191" s="43">
        <f>3</f>
        <v>3</v>
      </c>
      <c r="O191" s="62"/>
      <c r="P191" s="62"/>
      <c r="Q191" s="69">
        <f t="shared" si="6"/>
        <v>0</v>
      </c>
    </row>
    <row r="192" spans="1:20" s="3" customFormat="1" x14ac:dyDescent="0.25">
      <c r="A192" s="66"/>
      <c r="B192" s="8" t="s">
        <v>26</v>
      </c>
      <c r="C192" s="48" t="s">
        <v>17</v>
      </c>
      <c r="D192" s="49"/>
      <c r="E192" s="50" t="s">
        <v>32</v>
      </c>
      <c r="F192" s="22"/>
      <c r="G192" s="23" t="s">
        <v>107</v>
      </c>
      <c r="H192" s="24"/>
      <c r="I192" s="25"/>
      <c r="J192" s="37"/>
      <c r="K192" s="26"/>
      <c r="L192" s="26"/>
      <c r="M192" s="62">
        <f t="shared" si="5"/>
        <v>0</v>
      </c>
      <c r="N192" s="40"/>
      <c r="O192" s="28"/>
      <c r="P192" s="28"/>
      <c r="Q192" s="69">
        <f t="shared" si="6"/>
        <v>0</v>
      </c>
    </row>
    <row r="193" spans="1:20" s="3" customFormat="1" x14ac:dyDescent="0.25">
      <c r="A193" s="66"/>
      <c r="B193" s="8" t="s">
        <v>99</v>
      </c>
      <c r="C193" s="48" t="s">
        <v>17</v>
      </c>
      <c r="D193" s="49"/>
      <c r="E193" s="54" t="s">
        <v>35</v>
      </c>
      <c r="F193" s="51" t="s">
        <v>219</v>
      </c>
      <c r="G193" s="23" t="s">
        <v>102</v>
      </c>
      <c r="H193" s="24">
        <v>3</v>
      </c>
      <c r="I193" s="25">
        <v>1</v>
      </c>
      <c r="J193" s="37">
        <f>1</f>
        <v>1</v>
      </c>
      <c r="K193" s="26"/>
      <c r="L193" s="26"/>
      <c r="M193" s="62">
        <f t="shared" si="5"/>
        <v>0</v>
      </c>
      <c r="N193" s="40">
        <f>5+1</f>
        <v>6</v>
      </c>
      <c r="O193" s="28">
        <f>10861.7</f>
        <v>10861.7</v>
      </c>
      <c r="P193" s="28">
        <f>10861.7</f>
        <v>10861.7</v>
      </c>
      <c r="Q193" s="69"/>
    </row>
    <row r="194" spans="1:20" s="3" customFormat="1" x14ac:dyDescent="0.25">
      <c r="A194" s="66"/>
      <c r="B194" s="11" t="s">
        <v>100</v>
      </c>
      <c r="C194" s="48" t="s">
        <v>17</v>
      </c>
      <c r="D194" s="57"/>
      <c r="E194" s="54" t="s">
        <v>20</v>
      </c>
      <c r="F194" s="51" t="s">
        <v>220</v>
      </c>
      <c r="G194" s="23" t="s">
        <v>102</v>
      </c>
      <c r="H194" s="24">
        <v>4</v>
      </c>
      <c r="I194" s="25">
        <v>1</v>
      </c>
      <c r="J194" s="37">
        <f>1</f>
        <v>1</v>
      </c>
      <c r="K194" s="26"/>
      <c r="L194" s="26"/>
      <c r="M194" s="62">
        <f t="shared" si="5"/>
        <v>0</v>
      </c>
      <c r="N194" s="40">
        <f>1+1+5</f>
        <v>7</v>
      </c>
      <c r="O194" s="26">
        <f>1848.76</f>
        <v>1848.76</v>
      </c>
      <c r="P194" s="26">
        <f>1848.76</f>
        <v>1848.76</v>
      </c>
      <c r="Q194" s="69">
        <f t="shared" si="6"/>
        <v>0</v>
      </c>
      <c r="T194" s="45"/>
    </row>
    <row r="195" spans="1:20" x14ac:dyDescent="0.25">
      <c r="A195" s="108"/>
      <c r="B195" s="15"/>
      <c r="C195" s="109"/>
      <c r="D195" s="72"/>
      <c r="E195" s="72"/>
      <c r="F195" s="22"/>
      <c r="G195" s="72" t="s">
        <v>112</v>
      </c>
      <c r="H195" s="77">
        <f>SUM(H10:H194)</f>
        <v>259</v>
      </c>
      <c r="I195" s="110">
        <f>SUM(I10:I194)</f>
        <v>25</v>
      </c>
      <c r="J195" s="58">
        <f>SUM(J10:J194)</f>
        <v>27</v>
      </c>
      <c r="K195" s="59">
        <f>SUM(K10:K194)</f>
        <v>24252.590000000004</v>
      </c>
      <c r="L195" s="59">
        <f>SUM(L10:L194)</f>
        <v>24252.590000000004</v>
      </c>
      <c r="M195" s="60">
        <f>K195-L195</f>
        <v>0</v>
      </c>
      <c r="N195" s="58">
        <f>SUM(N10:N194)</f>
        <v>374</v>
      </c>
      <c r="O195" s="78">
        <f>SUM(O10:O194)</f>
        <v>728863.70999999985</v>
      </c>
      <c r="P195" s="78">
        <f>SUM(P10:P194)</f>
        <v>728863.70999999985</v>
      </c>
      <c r="Q195" s="27">
        <f t="shared" si="6"/>
        <v>0</v>
      </c>
      <c r="T195" s="2"/>
    </row>
    <row r="196" spans="1:20" x14ac:dyDescent="0.25">
      <c r="K196" s="35" t="s">
        <v>136</v>
      </c>
      <c r="T196" s="2"/>
    </row>
    <row r="197" spans="1:20" ht="30" x14ac:dyDescent="0.25">
      <c r="B197" s="86" t="s">
        <v>169</v>
      </c>
      <c r="F197" s="41" t="s">
        <v>142</v>
      </c>
      <c r="M197" s="46"/>
      <c r="N197" s="81"/>
      <c r="O197" s="82"/>
      <c r="P197" s="83"/>
      <c r="Q197" s="44"/>
      <c r="T197" s="2"/>
    </row>
    <row r="198" spans="1:20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87"/>
      <c r="M198" s="61"/>
      <c r="N198" s="2"/>
      <c r="O198" s="2"/>
      <c r="P198" s="2"/>
      <c r="Q198" s="2"/>
    </row>
    <row r="199" spans="1:20" x14ac:dyDescent="0.25">
      <c r="M199" s="61"/>
      <c r="T199" s="107"/>
    </row>
    <row r="200" spans="1:20" x14ac:dyDescent="0.25">
      <c r="M200" s="61"/>
    </row>
    <row r="201" spans="1:20" x14ac:dyDescent="0.25">
      <c r="M201" s="61"/>
    </row>
    <row r="202" spans="1:20" x14ac:dyDescent="0.25">
      <c r="M202" s="61"/>
    </row>
  </sheetData>
  <autoFilter ref="A9:T197"/>
  <mergeCells count="7">
    <mergeCell ref="O1:Q1"/>
    <mergeCell ref="A3:Q3"/>
    <mergeCell ref="A4:Q4"/>
    <mergeCell ref="A5:Q5"/>
    <mergeCell ref="B7:G7"/>
    <mergeCell ref="H7:M7"/>
    <mergeCell ref="N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workbookViewId="0"/>
  </sheetViews>
  <sheetFormatPr defaultRowHeight="15" x14ac:dyDescent="0.25"/>
  <cols>
    <col min="1" max="1" width="3.85546875" style="2" customWidth="1"/>
    <col min="2" max="2" width="41" style="32" customWidth="1"/>
    <col min="3" max="3" width="6.5703125" style="5" customWidth="1"/>
    <col min="4" max="4" width="17.42578125" style="5" customWidth="1"/>
    <col min="5" max="5" width="19" style="5" customWidth="1"/>
    <col min="6" max="6" width="15.140625" style="33" customWidth="1"/>
    <col min="7" max="7" width="20.140625" style="33" customWidth="1"/>
    <col min="8" max="9" width="15.7109375" style="34" customWidth="1"/>
    <col min="10" max="10" width="15.7109375" style="39" customWidth="1"/>
    <col min="11" max="13" width="15.7109375" style="35" customWidth="1"/>
    <col min="14" max="14" width="15.7109375" style="39" customWidth="1"/>
    <col min="15" max="17" width="15.7109375" style="36" customWidth="1"/>
    <col min="18" max="18" width="10.7109375" style="2" customWidth="1"/>
    <col min="19" max="19" width="9.140625" style="2"/>
    <col min="20" max="20" width="10.42578125" style="2" bestFit="1" customWidth="1"/>
    <col min="21" max="16384" width="9.140625" style="2"/>
  </cols>
  <sheetData>
    <row r="1" spans="1:17" s="42" customFormat="1" x14ac:dyDescent="0.25">
      <c r="A1" s="9"/>
      <c r="B1" s="9"/>
      <c r="C1" s="63"/>
      <c r="D1" s="63"/>
      <c r="E1" s="63"/>
      <c r="F1" s="12"/>
      <c r="G1" s="12"/>
      <c r="H1" s="13"/>
      <c r="I1" s="13"/>
      <c r="J1" s="92"/>
      <c r="K1" s="14"/>
      <c r="L1" s="14"/>
      <c r="M1" s="14"/>
      <c r="N1" s="92"/>
      <c r="O1" s="135" t="s">
        <v>15</v>
      </c>
      <c r="P1" s="135"/>
      <c r="Q1" s="135"/>
    </row>
    <row r="2" spans="1:17" s="42" customFormat="1" x14ac:dyDescent="0.25">
      <c r="A2" s="132"/>
      <c r="B2" s="132"/>
      <c r="C2" s="133"/>
      <c r="D2" s="133"/>
      <c r="E2" s="133"/>
      <c r="F2" s="15"/>
      <c r="G2" s="15"/>
      <c r="H2" s="134"/>
      <c r="I2" s="134"/>
      <c r="J2" s="93"/>
      <c r="K2" s="16"/>
      <c r="L2" s="16"/>
      <c r="M2" s="16"/>
      <c r="N2" s="93"/>
      <c r="O2" s="17"/>
      <c r="P2" s="17"/>
      <c r="Q2" s="17"/>
    </row>
    <row r="3" spans="1:17" s="42" customFormat="1" x14ac:dyDescent="0.25">
      <c r="A3" s="136" t="s">
        <v>171</v>
      </c>
      <c r="B3" s="137"/>
      <c r="C3" s="138"/>
      <c r="D3" s="138"/>
      <c r="E3" s="138"/>
      <c r="F3" s="137"/>
      <c r="G3" s="137"/>
      <c r="H3" s="139"/>
      <c r="I3" s="139"/>
      <c r="J3" s="137"/>
      <c r="K3" s="137"/>
      <c r="L3" s="137"/>
      <c r="M3" s="137"/>
      <c r="N3" s="137"/>
      <c r="O3" s="137"/>
      <c r="P3" s="137"/>
      <c r="Q3" s="137"/>
    </row>
    <row r="4" spans="1:17" s="42" customFormat="1" x14ac:dyDescent="0.25">
      <c r="A4" s="140">
        <v>43991</v>
      </c>
      <c r="B4" s="141"/>
      <c r="C4" s="142"/>
      <c r="D4" s="142"/>
      <c r="E4" s="142"/>
      <c r="F4" s="141"/>
      <c r="G4" s="141"/>
      <c r="H4" s="143"/>
      <c r="I4" s="143"/>
      <c r="J4" s="141"/>
      <c r="K4" s="141"/>
      <c r="L4" s="141"/>
      <c r="M4" s="141"/>
      <c r="N4" s="141"/>
      <c r="O4" s="141"/>
      <c r="P4" s="141"/>
      <c r="Q4" s="141"/>
    </row>
    <row r="5" spans="1:17" s="42" customFormat="1" x14ac:dyDescent="0.25">
      <c r="A5" s="137" t="s">
        <v>14</v>
      </c>
      <c r="B5" s="137"/>
      <c r="C5" s="137"/>
      <c r="D5" s="137"/>
      <c r="E5" s="137"/>
      <c r="F5" s="137"/>
      <c r="G5" s="137"/>
      <c r="H5" s="139"/>
      <c r="I5" s="139"/>
      <c r="J5" s="137"/>
      <c r="K5" s="137"/>
      <c r="L5" s="137"/>
      <c r="M5" s="137"/>
      <c r="N5" s="137"/>
      <c r="O5" s="137"/>
      <c r="P5" s="137"/>
      <c r="Q5" s="137"/>
    </row>
    <row r="6" spans="1:17" s="42" customFormat="1" x14ac:dyDescent="0.25">
      <c r="A6" s="132"/>
      <c r="B6" s="132"/>
      <c r="C6" s="133"/>
      <c r="D6" s="133"/>
      <c r="E6" s="133"/>
      <c r="F6" s="15"/>
      <c r="G6" s="15"/>
      <c r="H6" s="134"/>
      <c r="I6" s="134"/>
      <c r="J6" s="93"/>
      <c r="K6" s="16"/>
      <c r="L6" s="16"/>
      <c r="M6" s="16"/>
      <c r="N6" s="93"/>
      <c r="O6" s="17"/>
      <c r="P6" s="17"/>
      <c r="Q6" s="17"/>
    </row>
    <row r="7" spans="1:17" x14ac:dyDescent="0.25">
      <c r="A7" s="64" t="s">
        <v>0</v>
      </c>
      <c r="B7" s="137" t="s">
        <v>10</v>
      </c>
      <c r="C7" s="138"/>
      <c r="D7" s="138"/>
      <c r="E7" s="138"/>
      <c r="F7" s="137"/>
      <c r="G7" s="137"/>
      <c r="H7" s="139" t="s">
        <v>172</v>
      </c>
      <c r="I7" s="139"/>
      <c r="J7" s="137"/>
      <c r="K7" s="137"/>
      <c r="L7" s="137"/>
      <c r="M7" s="137"/>
      <c r="N7" s="137" t="s">
        <v>113</v>
      </c>
      <c r="O7" s="137"/>
      <c r="P7" s="137"/>
      <c r="Q7" s="137"/>
    </row>
    <row r="8" spans="1:17" ht="152.25" customHeight="1" x14ac:dyDescent="0.25">
      <c r="A8" s="64"/>
      <c r="B8" s="132" t="s">
        <v>4</v>
      </c>
      <c r="C8" s="125" t="s">
        <v>1</v>
      </c>
      <c r="D8" s="133" t="s">
        <v>3</v>
      </c>
      <c r="E8" s="133" t="s">
        <v>2</v>
      </c>
      <c r="F8" s="132" t="s">
        <v>6</v>
      </c>
      <c r="G8" s="15" t="s">
        <v>5</v>
      </c>
      <c r="H8" s="132" t="s">
        <v>7</v>
      </c>
      <c r="I8" s="132" t="s">
        <v>8</v>
      </c>
      <c r="J8" s="93" t="s">
        <v>9</v>
      </c>
      <c r="K8" s="16" t="s">
        <v>11</v>
      </c>
      <c r="L8" s="16" t="s">
        <v>12</v>
      </c>
      <c r="M8" s="16" t="s">
        <v>13</v>
      </c>
      <c r="N8" s="93" t="s">
        <v>9</v>
      </c>
      <c r="O8" s="126" t="s">
        <v>11</v>
      </c>
      <c r="P8" s="17" t="s">
        <v>12</v>
      </c>
      <c r="Q8" s="17" t="s">
        <v>13</v>
      </c>
    </row>
    <row r="9" spans="1:17" x14ac:dyDescent="0.25">
      <c r="A9" s="65">
        <v>1</v>
      </c>
      <c r="B9" s="10">
        <f>A9+1</f>
        <v>2</v>
      </c>
      <c r="C9" s="65">
        <f t="shared" ref="C9:P9" si="0">B9+1</f>
        <v>3</v>
      </c>
      <c r="D9" s="65">
        <f t="shared" si="0"/>
        <v>4</v>
      </c>
      <c r="E9" s="65">
        <f t="shared" si="0"/>
        <v>5</v>
      </c>
      <c r="F9" s="18">
        <f t="shared" si="0"/>
        <v>6</v>
      </c>
      <c r="G9" s="18">
        <f t="shared" si="0"/>
        <v>7</v>
      </c>
      <c r="H9" s="19">
        <f t="shared" si="0"/>
        <v>8</v>
      </c>
      <c r="I9" s="19">
        <f t="shared" si="0"/>
        <v>9</v>
      </c>
      <c r="J9" s="94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94">
        <f t="shared" si="0"/>
        <v>14</v>
      </c>
      <c r="O9" s="21">
        <f t="shared" si="0"/>
        <v>15</v>
      </c>
      <c r="P9" s="21">
        <f t="shared" si="0"/>
        <v>16</v>
      </c>
      <c r="Q9" s="21">
        <f>P9+1</f>
        <v>17</v>
      </c>
    </row>
    <row r="10" spans="1:17" s="3" customFormat="1" ht="30" x14ac:dyDescent="0.25">
      <c r="A10" s="66"/>
      <c r="B10" s="11" t="s">
        <v>16</v>
      </c>
      <c r="C10" s="48" t="s">
        <v>135</v>
      </c>
      <c r="D10" s="49" t="s">
        <v>141</v>
      </c>
      <c r="E10" s="50" t="s">
        <v>18</v>
      </c>
      <c r="F10" s="115" t="s">
        <v>249</v>
      </c>
      <c r="G10" s="23" t="s">
        <v>102</v>
      </c>
      <c r="H10" s="24">
        <v>4</v>
      </c>
      <c r="I10" s="25">
        <v>2</v>
      </c>
      <c r="J10" s="38">
        <f>2+1</f>
        <v>3</v>
      </c>
      <c r="K10" s="26">
        <f>1243.21</f>
        <v>1243.21</v>
      </c>
      <c r="L10" s="26">
        <f>1243.21</f>
        <v>1243.21</v>
      </c>
      <c r="M10" s="62">
        <f>K10-L10</f>
        <v>0</v>
      </c>
      <c r="N10" s="40">
        <f>4+1+3+1+1</f>
        <v>10</v>
      </c>
      <c r="O10" s="26">
        <f>3087.9+1734.15+10096.24+551.78+1387.32</f>
        <v>16857.390000000003</v>
      </c>
      <c r="P10" s="26">
        <f>3087.9+1734.15+10096.24</f>
        <v>14918.29</v>
      </c>
      <c r="Q10" s="27">
        <f>O10-P10</f>
        <v>1939.1000000000022</v>
      </c>
    </row>
    <row r="11" spans="1:17" s="6" customFormat="1" ht="30" x14ac:dyDescent="0.25">
      <c r="A11" s="48"/>
      <c r="B11" s="8" t="s">
        <v>16</v>
      </c>
      <c r="C11" s="48" t="s">
        <v>135</v>
      </c>
      <c r="D11" s="49" t="s">
        <v>141</v>
      </c>
      <c r="E11" s="50" t="s">
        <v>18</v>
      </c>
      <c r="F11" s="22" t="s">
        <v>268</v>
      </c>
      <c r="G11" s="73" t="s">
        <v>106</v>
      </c>
      <c r="H11" s="48">
        <v>1</v>
      </c>
      <c r="I11" s="71">
        <v>1</v>
      </c>
      <c r="J11" s="38">
        <v>1</v>
      </c>
      <c r="K11" s="129">
        <v>1387</v>
      </c>
      <c r="L11" s="129">
        <v>1387</v>
      </c>
      <c r="M11" s="62">
        <f>K11-L11</f>
        <v>0</v>
      </c>
      <c r="N11" s="40">
        <v>1</v>
      </c>
      <c r="O11" s="130">
        <v>1387</v>
      </c>
      <c r="P11" s="130">
        <v>1387</v>
      </c>
      <c r="Q11" s="69">
        <f t="shared" ref="Q11:Q81" si="1">O11-P11</f>
        <v>0</v>
      </c>
    </row>
    <row r="12" spans="1:17" s="3" customFormat="1" x14ac:dyDescent="0.25">
      <c r="A12" s="66"/>
      <c r="B12" s="11" t="s">
        <v>157</v>
      </c>
      <c r="C12" s="48" t="s">
        <v>135</v>
      </c>
      <c r="D12" s="49"/>
      <c r="E12" s="50"/>
      <c r="F12" s="51" t="s">
        <v>174</v>
      </c>
      <c r="G12" s="67" t="s">
        <v>102</v>
      </c>
      <c r="H12" s="48">
        <v>11</v>
      </c>
      <c r="I12" s="68">
        <v>8</v>
      </c>
      <c r="J12" s="37">
        <f>4+3+1+3+1</f>
        <v>12</v>
      </c>
      <c r="K12" s="129"/>
      <c r="L12" s="129"/>
      <c r="M12" s="62">
        <f t="shared" ref="M12:M13" si="2">K12-L12</f>
        <v>0</v>
      </c>
      <c r="N12" s="40">
        <f>1+4+1+1+1+2+1</f>
        <v>11</v>
      </c>
      <c r="O12" s="129">
        <f>13427.71+4909.05+6255.54</f>
        <v>24592.3</v>
      </c>
      <c r="P12" s="129">
        <f>13427.71+4909.05</f>
        <v>18336.759999999998</v>
      </c>
      <c r="Q12" s="27">
        <f t="shared" si="1"/>
        <v>6255.5400000000009</v>
      </c>
    </row>
    <row r="13" spans="1:17" s="4" customFormat="1" x14ac:dyDescent="0.25">
      <c r="A13" s="66"/>
      <c r="B13" s="11" t="s">
        <v>19</v>
      </c>
      <c r="C13" s="48" t="s">
        <v>17</v>
      </c>
      <c r="D13" s="49"/>
      <c r="E13" s="50" t="s">
        <v>20</v>
      </c>
      <c r="F13" s="51" t="s">
        <v>175</v>
      </c>
      <c r="G13" s="23" t="s">
        <v>102</v>
      </c>
      <c r="H13" s="24">
        <v>8</v>
      </c>
      <c r="I13" s="25">
        <v>4</v>
      </c>
      <c r="J13" s="37">
        <f>1+1+1+1</f>
        <v>4</v>
      </c>
      <c r="K13" s="26">
        <f>461.44+4404.74+2260.39</f>
        <v>7126.57</v>
      </c>
      <c r="L13" s="26">
        <f>461.44+4404.74+2260.39</f>
        <v>7126.57</v>
      </c>
      <c r="M13" s="62">
        <f t="shared" si="2"/>
        <v>0</v>
      </c>
      <c r="N13" s="40">
        <f>1</f>
        <v>1</v>
      </c>
      <c r="O13" s="26"/>
      <c r="P13" s="26"/>
      <c r="Q13" s="27">
        <f t="shared" si="1"/>
        <v>0</v>
      </c>
    </row>
    <row r="14" spans="1:17" s="4" customFormat="1" x14ac:dyDescent="0.25">
      <c r="A14" s="66"/>
      <c r="B14" s="11" t="s">
        <v>19</v>
      </c>
      <c r="C14" s="48" t="s">
        <v>17</v>
      </c>
      <c r="D14" s="49"/>
      <c r="E14" s="50" t="s">
        <v>20</v>
      </c>
      <c r="F14" s="22" t="s">
        <v>270</v>
      </c>
      <c r="G14" s="67" t="s">
        <v>104</v>
      </c>
      <c r="H14" s="48">
        <v>3</v>
      </c>
      <c r="I14" s="68"/>
      <c r="J14" s="52"/>
      <c r="K14" s="26"/>
      <c r="L14" s="26"/>
      <c r="M14" s="62">
        <f t="shared" ref="M14:M75" si="3">K14-L14</f>
        <v>0</v>
      </c>
      <c r="N14" s="40">
        <v>1</v>
      </c>
      <c r="O14" s="129">
        <v>1618.54</v>
      </c>
      <c r="P14" s="129">
        <v>1618.54</v>
      </c>
      <c r="Q14" s="69">
        <f t="shared" si="1"/>
        <v>0</v>
      </c>
    </row>
    <row r="15" spans="1:17" s="4" customFormat="1" x14ac:dyDescent="0.25">
      <c r="A15" s="66"/>
      <c r="B15" s="11" t="s">
        <v>128</v>
      </c>
      <c r="C15" s="48" t="s">
        <v>17</v>
      </c>
      <c r="D15" s="49"/>
      <c r="E15" s="50" t="s">
        <v>20</v>
      </c>
      <c r="F15" s="51" t="s">
        <v>176</v>
      </c>
      <c r="G15" s="23" t="s">
        <v>102</v>
      </c>
      <c r="H15" s="24">
        <v>11</v>
      </c>
      <c r="I15" s="29">
        <v>5</v>
      </c>
      <c r="J15" s="37">
        <f>1+1+2+1</f>
        <v>5</v>
      </c>
      <c r="K15" s="26">
        <f>1144.54+1849.76+3300.88</f>
        <v>6295.18</v>
      </c>
      <c r="L15" s="26">
        <f>1144.54+1849.76</f>
        <v>2994.3</v>
      </c>
      <c r="M15" s="62">
        <f>K15-L15</f>
        <v>3300.88</v>
      </c>
      <c r="N15" s="43">
        <f>1+2</f>
        <v>3</v>
      </c>
      <c r="O15" s="28">
        <f>785.15+3647.71+1526.05</f>
        <v>5958.91</v>
      </c>
      <c r="P15" s="28">
        <f>785.15+3647.71</f>
        <v>4432.8599999999997</v>
      </c>
      <c r="Q15" s="27">
        <f>O15-P15</f>
        <v>1526.0500000000002</v>
      </c>
    </row>
    <row r="16" spans="1:17" s="4" customFormat="1" x14ac:dyDescent="0.25">
      <c r="A16" s="66"/>
      <c r="B16" s="70" t="s">
        <v>128</v>
      </c>
      <c r="C16" s="48" t="s">
        <v>17</v>
      </c>
      <c r="D16" s="49"/>
      <c r="E16" s="50" t="s">
        <v>20</v>
      </c>
      <c r="F16" s="22" t="s">
        <v>272</v>
      </c>
      <c r="G16" s="67" t="s">
        <v>104</v>
      </c>
      <c r="H16" s="48">
        <v>10</v>
      </c>
      <c r="I16" s="68">
        <v>1</v>
      </c>
      <c r="J16" s="52">
        <v>2</v>
      </c>
      <c r="K16" s="26">
        <v>2102</v>
      </c>
      <c r="L16" s="26">
        <v>2102</v>
      </c>
      <c r="M16" s="62">
        <f t="shared" si="3"/>
        <v>0</v>
      </c>
      <c r="N16" s="40">
        <v>1</v>
      </c>
      <c r="O16" s="129">
        <v>5885.6</v>
      </c>
      <c r="P16" s="129">
        <v>5885.6</v>
      </c>
      <c r="Q16" s="69">
        <f t="shared" si="1"/>
        <v>0</v>
      </c>
    </row>
    <row r="17" spans="1:17" s="4" customFormat="1" x14ac:dyDescent="0.25">
      <c r="A17" s="66"/>
      <c r="B17" s="120" t="s">
        <v>328</v>
      </c>
      <c r="C17" s="48"/>
      <c r="D17" s="49"/>
      <c r="E17" s="50"/>
      <c r="F17" s="22" t="s">
        <v>331</v>
      </c>
      <c r="G17" s="121" t="s">
        <v>108</v>
      </c>
      <c r="H17" s="48">
        <v>1</v>
      </c>
      <c r="I17" s="68">
        <v>1</v>
      </c>
      <c r="J17" s="52">
        <v>1</v>
      </c>
      <c r="K17" s="26">
        <v>630</v>
      </c>
      <c r="L17" s="26"/>
      <c r="M17" s="62">
        <f t="shared" si="3"/>
        <v>630</v>
      </c>
      <c r="N17" s="40"/>
      <c r="O17" s="129"/>
      <c r="P17" s="129"/>
      <c r="Q17" s="69">
        <f>O17-P17</f>
        <v>0</v>
      </c>
    </row>
    <row r="18" spans="1:17" s="3" customFormat="1" x14ac:dyDescent="0.25">
      <c r="A18" s="66"/>
      <c r="B18" s="8" t="s">
        <v>22</v>
      </c>
      <c r="C18" s="48" t="s">
        <v>17</v>
      </c>
      <c r="D18" s="49"/>
      <c r="E18" s="50" t="s">
        <v>23</v>
      </c>
      <c r="F18" s="113" t="s">
        <v>221</v>
      </c>
      <c r="G18" s="23" t="s">
        <v>102</v>
      </c>
      <c r="H18" s="24">
        <v>53</v>
      </c>
      <c r="I18" s="25">
        <v>29</v>
      </c>
      <c r="J18" s="37">
        <f>1+9+1+1+3+9+4</f>
        <v>28</v>
      </c>
      <c r="K18" s="26">
        <f>763.03+1560.74+6898.35+8658.07+14605.32</f>
        <v>32485.510000000002</v>
      </c>
      <c r="L18" s="26">
        <f>763.03+1560.74+6898.35+8658.07+14605.32</f>
        <v>32485.510000000002</v>
      </c>
      <c r="M18" s="62">
        <f>K18-L18</f>
        <v>0</v>
      </c>
      <c r="N18" s="40">
        <f>19+5+15+10+1+4</f>
        <v>54</v>
      </c>
      <c r="O18" s="26">
        <f>5776.13+20482.83+22068.76+23551.18</f>
        <v>71878.899999999994</v>
      </c>
      <c r="P18" s="26">
        <f>35776.13+20482.83</f>
        <v>56258.96</v>
      </c>
      <c r="Q18" s="27">
        <f>O18-P18</f>
        <v>15619.939999999995</v>
      </c>
    </row>
    <row r="19" spans="1:17" s="3" customFormat="1" x14ac:dyDescent="0.25">
      <c r="A19" s="66"/>
      <c r="B19" s="8" t="s">
        <v>129</v>
      </c>
      <c r="C19" s="48" t="s">
        <v>17</v>
      </c>
      <c r="D19" s="49"/>
      <c r="E19" s="50" t="s">
        <v>20</v>
      </c>
      <c r="F19" s="22" t="s">
        <v>269</v>
      </c>
      <c r="G19" s="67" t="s">
        <v>104</v>
      </c>
      <c r="H19" s="48">
        <v>9</v>
      </c>
      <c r="I19" s="71"/>
      <c r="J19" s="52"/>
      <c r="K19" s="53"/>
      <c r="L19" s="53"/>
      <c r="M19" s="62">
        <f t="shared" si="3"/>
        <v>0</v>
      </c>
      <c r="N19" s="43">
        <v>1</v>
      </c>
      <c r="O19" s="129">
        <v>3783.6</v>
      </c>
      <c r="P19" s="129">
        <v>3783.6</v>
      </c>
      <c r="Q19" s="69">
        <f t="shared" si="1"/>
        <v>0</v>
      </c>
    </row>
    <row r="20" spans="1:17" s="3" customFormat="1" x14ac:dyDescent="0.25">
      <c r="A20" s="66"/>
      <c r="B20" s="8" t="s">
        <v>129</v>
      </c>
      <c r="C20" s="48" t="s">
        <v>17</v>
      </c>
      <c r="D20" s="49"/>
      <c r="E20" s="50" t="s">
        <v>20</v>
      </c>
      <c r="F20" s="51" t="s">
        <v>177</v>
      </c>
      <c r="G20" s="23" t="s">
        <v>102</v>
      </c>
      <c r="H20" s="24">
        <v>20</v>
      </c>
      <c r="I20" s="25">
        <v>15</v>
      </c>
      <c r="J20" s="37">
        <f>1+1+2+1+2+1+3+1+3+2</f>
        <v>17</v>
      </c>
      <c r="K20" s="26">
        <f>1211.17+1040.49+3802.64+3572.35+2260.39+6073.47+2099.06</f>
        <v>20059.57</v>
      </c>
      <c r="L20" s="26">
        <f>1211.17+1040.49+3802.64+3572.35+2260.39+6073.47+2099.06-2561.5</f>
        <v>17498.07</v>
      </c>
      <c r="M20" s="62">
        <f t="shared" si="3"/>
        <v>2561.5</v>
      </c>
      <c r="N20" s="40">
        <f>5+1+2+1+1+1+4+1</f>
        <v>16</v>
      </c>
      <c r="O20" s="28">
        <f>10417.85+15094.69+6725.67+3917.19+1271.71+462.44</f>
        <v>37889.550000000003</v>
      </c>
      <c r="P20" s="28">
        <f>10417.85+15094.69+6725.67+3917.19+1271.71+462.44</f>
        <v>37889.550000000003</v>
      </c>
      <c r="Q20" s="27">
        <f t="shared" si="1"/>
        <v>0</v>
      </c>
    </row>
    <row r="21" spans="1:17" s="3" customFormat="1" x14ac:dyDescent="0.25">
      <c r="A21" s="66"/>
      <c r="B21" s="11" t="s">
        <v>24</v>
      </c>
      <c r="C21" s="48" t="s">
        <v>17</v>
      </c>
      <c r="D21" s="49"/>
      <c r="E21" s="50" t="s">
        <v>20</v>
      </c>
      <c r="F21" s="51" t="s">
        <v>238</v>
      </c>
      <c r="G21" s="23" t="s">
        <v>102</v>
      </c>
      <c r="H21" s="24">
        <v>6</v>
      </c>
      <c r="I21" s="25"/>
      <c r="J21" s="37"/>
      <c r="K21" s="26"/>
      <c r="L21" s="26"/>
      <c r="M21" s="62">
        <f t="shared" si="3"/>
        <v>0</v>
      </c>
      <c r="N21" s="40">
        <f>3+4+1</f>
        <v>8</v>
      </c>
      <c r="O21" s="28">
        <f>1344.28+4567.48+3360.62</f>
        <v>9272.3799999999992</v>
      </c>
      <c r="P21" s="28">
        <f>1344.28+4567.48+3360.62</f>
        <v>9272.3799999999992</v>
      </c>
      <c r="Q21" s="27">
        <f t="shared" si="1"/>
        <v>0</v>
      </c>
    </row>
    <row r="22" spans="1:17" s="3" customFormat="1" x14ac:dyDescent="0.25">
      <c r="A22" s="66"/>
      <c r="B22" s="11" t="s">
        <v>24</v>
      </c>
      <c r="C22" s="48" t="s">
        <v>17</v>
      </c>
      <c r="D22" s="49"/>
      <c r="E22" s="50" t="s">
        <v>20</v>
      </c>
      <c r="F22" s="22" t="s">
        <v>291</v>
      </c>
      <c r="G22" s="67" t="s">
        <v>104</v>
      </c>
      <c r="H22" s="48"/>
      <c r="I22" s="68"/>
      <c r="J22" s="52"/>
      <c r="K22" s="26"/>
      <c r="L22" s="26"/>
      <c r="M22" s="62">
        <f t="shared" si="3"/>
        <v>0</v>
      </c>
      <c r="N22" s="40">
        <v>5</v>
      </c>
      <c r="O22" s="129">
        <v>9038.6</v>
      </c>
      <c r="P22" s="129">
        <v>9038.6</v>
      </c>
      <c r="Q22" s="69">
        <f t="shared" si="1"/>
        <v>0</v>
      </c>
    </row>
    <row r="23" spans="1:17" s="3" customFormat="1" x14ac:dyDescent="0.25">
      <c r="A23" s="66"/>
      <c r="B23" s="11" t="s">
        <v>25</v>
      </c>
      <c r="C23" s="48" t="s">
        <v>17</v>
      </c>
      <c r="D23" s="49"/>
      <c r="E23" s="50" t="s">
        <v>20</v>
      </c>
      <c r="F23" s="51" t="s">
        <v>178</v>
      </c>
      <c r="G23" s="23" t="s">
        <v>102</v>
      </c>
      <c r="H23" s="24">
        <v>14</v>
      </c>
      <c r="I23" s="25">
        <v>11</v>
      </c>
      <c r="J23" s="37">
        <f>1+1+2+1+1+3+2+2+1</f>
        <v>14</v>
      </c>
      <c r="K23" s="47">
        <f>1502.93+462.44+1303.24+1156.1</f>
        <v>4424.71</v>
      </c>
      <c r="L23" s="47">
        <f>1502.93+462.44+1303.24+1156.1</f>
        <v>4424.71</v>
      </c>
      <c r="M23" s="62">
        <f>K23-L23</f>
        <v>0</v>
      </c>
      <c r="N23" s="40">
        <f>7+1+1+1</f>
        <v>10</v>
      </c>
      <c r="O23" s="47">
        <f>12426.29+1657.62+924.88+2146.31+1179.22+2011.61</f>
        <v>20345.93</v>
      </c>
      <c r="P23" s="47">
        <f>12426.29+1657.62+924.88+2146.31</f>
        <v>17155.099999999999</v>
      </c>
      <c r="Q23" s="27">
        <f>O23-P23</f>
        <v>3190.8300000000017</v>
      </c>
    </row>
    <row r="24" spans="1:17" s="3" customFormat="1" x14ac:dyDescent="0.25">
      <c r="A24" s="66"/>
      <c r="B24" s="11" t="s">
        <v>25</v>
      </c>
      <c r="C24" s="48" t="s">
        <v>17</v>
      </c>
      <c r="D24" s="49"/>
      <c r="E24" s="50" t="s">
        <v>20</v>
      </c>
      <c r="F24" s="22" t="s">
        <v>292</v>
      </c>
      <c r="G24" s="67" t="s">
        <v>104</v>
      </c>
      <c r="H24" s="48">
        <v>4</v>
      </c>
      <c r="I24" s="68">
        <v>1</v>
      </c>
      <c r="J24" s="52">
        <v>1</v>
      </c>
      <c r="K24" s="26">
        <v>1471.4</v>
      </c>
      <c r="L24" s="26">
        <v>1471.4</v>
      </c>
      <c r="M24" s="62">
        <f t="shared" si="3"/>
        <v>0</v>
      </c>
      <c r="N24" s="40">
        <v>2</v>
      </c>
      <c r="O24" s="129">
        <v>9017.58</v>
      </c>
      <c r="P24" s="129">
        <v>9017.58</v>
      </c>
      <c r="Q24" s="69">
        <f t="shared" si="1"/>
        <v>0</v>
      </c>
    </row>
    <row r="25" spans="1:17" s="3" customFormat="1" x14ac:dyDescent="0.25">
      <c r="A25" s="66"/>
      <c r="B25" s="11" t="s">
        <v>167</v>
      </c>
      <c r="C25" s="48" t="s">
        <v>17</v>
      </c>
      <c r="D25" s="49"/>
      <c r="E25" s="50" t="s">
        <v>20</v>
      </c>
      <c r="F25" s="51" t="s">
        <v>179</v>
      </c>
      <c r="G25" s="84" t="s">
        <v>102</v>
      </c>
      <c r="H25" s="48">
        <v>13</v>
      </c>
      <c r="I25" s="68">
        <v>10</v>
      </c>
      <c r="J25" s="52">
        <f>3+4+1+3</f>
        <v>11</v>
      </c>
      <c r="K25" s="26">
        <f>1555.48+5086.84+924.88+3699.52</f>
        <v>11266.72</v>
      </c>
      <c r="L25" s="26">
        <f>1555.48+5086.84+924.88+3699.52</f>
        <v>11266.72</v>
      </c>
      <c r="M25" s="62">
        <f t="shared" si="3"/>
        <v>0</v>
      </c>
      <c r="N25" s="40">
        <f>2+1+1</f>
        <v>4</v>
      </c>
      <c r="O25" s="26">
        <f>808.27+1387.32+1387.32</f>
        <v>3582.91</v>
      </c>
      <c r="P25" s="26">
        <f>808.27+1387.32</f>
        <v>2195.59</v>
      </c>
      <c r="Q25" s="27">
        <f t="shared" si="1"/>
        <v>1387.3199999999997</v>
      </c>
    </row>
    <row r="26" spans="1:17" s="3" customFormat="1" x14ac:dyDescent="0.25">
      <c r="A26" s="66"/>
      <c r="B26" s="11" t="s">
        <v>26</v>
      </c>
      <c r="C26" s="48" t="s">
        <v>17</v>
      </c>
      <c r="D26" s="49"/>
      <c r="E26" s="50" t="s">
        <v>27</v>
      </c>
      <c r="F26" s="113" t="s">
        <v>222</v>
      </c>
      <c r="G26" s="23" t="s">
        <v>102</v>
      </c>
      <c r="H26" s="24">
        <v>11</v>
      </c>
      <c r="I26" s="25">
        <v>5</v>
      </c>
      <c r="J26" s="37">
        <f>1+1+1+4</f>
        <v>7</v>
      </c>
      <c r="K26" s="26">
        <f>1144.54+630.6+1040.49+2682.89+7822.28</f>
        <v>13320.8</v>
      </c>
      <c r="L26" s="26">
        <f>1144.54+630.6+1040.49+2682.89</f>
        <v>5498.52</v>
      </c>
      <c r="M26" s="62">
        <f t="shared" si="3"/>
        <v>7822.2799999999988</v>
      </c>
      <c r="N26" s="40">
        <f>2+1+2+1</f>
        <v>6</v>
      </c>
      <c r="O26" s="28">
        <f>4756.65+5572.92+13798.84+1572.3</f>
        <v>25700.71</v>
      </c>
      <c r="P26" s="28">
        <f>4756.65+5572.92+13798.84</f>
        <v>24128.41</v>
      </c>
      <c r="Q26" s="27">
        <f t="shared" si="1"/>
        <v>1572.2999999999993</v>
      </c>
    </row>
    <row r="27" spans="1:17" s="4" customFormat="1" x14ac:dyDescent="0.25">
      <c r="A27" s="66"/>
      <c r="B27" s="11" t="s">
        <v>28</v>
      </c>
      <c r="C27" s="48" t="s">
        <v>17</v>
      </c>
      <c r="D27" s="49"/>
      <c r="E27" s="54" t="s">
        <v>29</v>
      </c>
      <c r="F27" s="51" t="s">
        <v>180</v>
      </c>
      <c r="G27" s="23" t="s">
        <v>102</v>
      </c>
      <c r="H27" s="24">
        <v>4</v>
      </c>
      <c r="I27" s="25">
        <v>4</v>
      </c>
      <c r="J27" s="37">
        <f>3+1+1+1</f>
        <v>6</v>
      </c>
      <c r="K27" s="26">
        <f>5381.12+3835.31</f>
        <v>9216.43</v>
      </c>
      <c r="L27" s="26">
        <f>5381.12+3835.31</f>
        <v>9216.43</v>
      </c>
      <c r="M27" s="62">
        <f t="shared" si="3"/>
        <v>0</v>
      </c>
      <c r="N27" s="40">
        <f>2+1+3+8</f>
        <v>14</v>
      </c>
      <c r="O27" s="26">
        <f>14007.66+21444.83+2923.88</f>
        <v>38376.370000000003</v>
      </c>
      <c r="P27" s="26">
        <f>14007.66</f>
        <v>14007.66</v>
      </c>
      <c r="Q27" s="27">
        <f t="shared" si="1"/>
        <v>24368.710000000003</v>
      </c>
    </row>
    <row r="28" spans="1:17" s="4" customFormat="1" x14ac:dyDescent="0.25">
      <c r="A28" s="66"/>
      <c r="B28" s="11" t="s">
        <v>28</v>
      </c>
      <c r="C28" s="48" t="s">
        <v>17</v>
      </c>
      <c r="D28" s="49"/>
      <c r="E28" s="54" t="s">
        <v>29</v>
      </c>
      <c r="F28" s="22" t="s">
        <v>273</v>
      </c>
      <c r="G28" s="72" t="s">
        <v>107</v>
      </c>
      <c r="H28" s="48">
        <v>2</v>
      </c>
      <c r="I28" s="68"/>
      <c r="J28" s="37"/>
      <c r="K28" s="26"/>
      <c r="L28" s="26"/>
      <c r="M28" s="62">
        <f t="shared" si="3"/>
        <v>0</v>
      </c>
      <c r="N28" s="40">
        <v>2</v>
      </c>
      <c r="O28" s="129">
        <v>12033.95</v>
      </c>
      <c r="P28" s="129">
        <v>1103.55</v>
      </c>
      <c r="Q28" s="27">
        <f t="shared" si="1"/>
        <v>10930.400000000001</v>
      </c>
    </row>
    <row r="29" spans="1:17" s="4" customFormat="1" x14ac:dyDescent="0.25">
      <c r="A29" s="66"/>
      <c r="B29" s="70" t="s">
        <v>162</v>
      </c>
      <c r="C29" s="48" t="s">
        <v>17</v>
      </c>
      <c r="D29" s="49"/>
      <c r="E29" s="54"/>
      <c r="F29" s="51" t="s">
        <v>239</v>
      </c>
      <c r="G29" s="72" t="s">
        <v>102</v>
      </c>
      <c r="H29" s="48">
        <v>14</v>
      </c>
      <c r="I29" s="68">
        <v>8</v>
      </c>
      <c r="J29" s="37">
        <f>3+1+1+2+2+1</f>
        <v>10</v>
      </c>
      <c r="K29" s="26">
        <f>4620.96+1040.49+2468.89</f>
        <v>8130.34</v>
      </c>
      <c r="L29" s="26">
        <f>4620.96+1040.49+2468.89</f>
        <v>8130.34</v>
      </c>
      <c r="M29" s="62">
        <f t="shared" si="3"/>
        <v>0</v>
      </c>
      <c r="N29" s="40">
        <f>1+1+1+1</f>
        <v>4</v>
      </c>
      <c r="O29" s="129">
        <f>1336.9+1753.07+4498.07</f>
        <v>7588.04</v>
      </c>
      <c r="P29" s="129">
        <f>1336.9+1753.07+4498.07</f>
        <v>7588.04</v>
      </c>
      <c r="Q29" s="27">
        <f t="shared" si="1"/>
        <v>0</v>
      </c>
    </row>
    <row r="30" spans="1:17" s="3" customFormat="1" x14ac:dyDescent="0.25">
      <c r="A30" s="66"/>
      <c r="B30" s="7" t="s">
        <v>30</v>
      </c>
      <c r="C30" s="48" t="s">
        <v>17</v>
      </c>
      <c r="D30" s="49"/>
      <c r="E30" s="54" t="s">
        <v>21</v>
      </c>
      <c r="F30" s="113" t="s">
        <v>223</v>
      </c>
      <c r="G30" s="23" t="s">
        <v>102</v>
      </c>
      <c r="H30" s="24">
        <v>16</v>
      </c>
      <c r="I30" s="25">
        <v>8</v>
      </c>
      <c r="J30" s="37">
        <f>1+2+2+1+2+1+1</f>
        <v>10</v>
      </c>
      <c r="K30" s="26">
        <f>1387.32+6139.61+1889.28</f>
        <v>9416.2099999999991</v>
      </c>
      <c r="L30" s="26">
        <f>1387.32+6139.61+1889.28</f>
        <v>9416.2099999999991</v>
      </c>
      <c r="M30" s="62">
        <f t="shared" si="3"/>
        <v>0</v>
      </c>
      <c r="N30" s="40">
        <f>3+5+3+3+1</f>
        <v>15</v>
      </c>
      <c r="O30" s="28">
        <f>5814.86+8826.73+5814.34+11755.11</f>
        <v>32211.040000000001</v>
      </c>
      <c r="P30" s="28">
        <f>5814.86+8826.73+5814.34+11755.11</f>
        <v>32211.040000000001</v>
      </c>
      <c r="Q30" s="27">
        <f t="shared" si="1"/>
        <v>0</v>
      </c>
    </row>
    <row r="31" spans="1:17" s="3" customFormat="1" x14ac:dyDescent="0.25">
      <c r="A31" s="66"/>
      <c r="B31" s="7" t="s">
        <v>158</v>
      </c>
      <c r="C31" s="48" t="s">
        <v>17</v>
      </c>
      <c r="D31" s="49"/>
      <c r="E31" s="50" t="s">
        <v>20</v>
      </c>
      <c r="F31" s="115" t="s">
        <v>250</v>
      </c>
      <c r="G31" s="23" t="s">
        <v>102</v>
      </c>
      <c r="H31" s="24">
        <v>7</v>
      </c>
      <c r="I31" s="25">
        <v>2</v>
      </c>
      <c r="J31" s="37">
        <f>3+2</f>
        <v>5</v>
      </c>
      <c r="K31" s="26"/>
      <c r="L31" s="26"/>
      <c r="M31" s="62">
        <f t="shared" si="3"/>
        <v>0</v>
      </c>
      <c r="N31" s="40"/>
      <c r="O31" s="28">
        <f>600.43</f>
        <v>600.42999999999995</v>
      </c>
      <c r="P31" s="28"/>
      <c r="Q31" s="27">
        <f t="shared" si="1"/>
        <v>600.42999999999995</v>
      </c>
    </row>
    <row r="32" spans="1:17" s="3" customFormat="1" x14ac:dyDescent="0.25">
      <c r="A32" s="66"/>
      <c r="B32" s="7" t="s">
        <v>158</v>
      </c>
      <c r="C32" s="48" t="s">
        <v>17</v>
      </c>
      <c r="D32" s="49"/>
      <c r="E32" s="50" t="s">
        <v>20</v>
      </c>
      <c r="F32" s="22" t="s">
        <v>293</v>
      </c>
      <c r="G32" s="23" t="s">
        <v>104</v>
      </c>
      <c r="H32" s="24">
        <v>4</v>
      </c>
      <c r="I32" s="25"/>
      <c r="J32" s="37"/>
      <c r="K32" s="26"/>
      <c r="L32" s="26"/>
      <c r="M32" s="62">
        <f t="shared" si="3"/>
        <v>0</v>
      </c>
      <c r="N32" s="40">
        <v>7</v>
      </c>
      <c r="O32" s="28">
        <v>14167.48</v>
      </c>
      <c r="P32" s="28">
        <v>14167.48</v>
      </c>
      <c r="Q32" s="69">
        <f t="shared" si="1"/>
        <v>0</v>
      </c>
    </row>
    <row r="33" spans="1:17" s="3" customFormat="1" x14ac:dyDescent="0.25">
      <c r="A33" s="66"/>
      <c r="B33" s="7" t="s">
        <v>158</v>
      </c>
      <c r="C33" s="48" t="s">
        <v>17</v>
      </c>
      <c r="D33" s="49"/>
      <c r="E33" s="50"/>
      <c r="F33" s="22" t="s">
        <v>274</v>
      </c>
      <c r="G33" s="72" t="s">
        <v>107</v>
      </c>
      <c r="H33" s="24"/>
      <c r="I33" s="25"/>
      <c r="J33" s="37"/>
      <c r="K33" s="26"/>
      <c r="L33" s="26"/>
      <c r="M33" s="62">
        <f t="shared" si="3"/>
        <v>0</v>
      </c>
      <c r="N33" s="40"/>
      <c r="O33" s="28"/>
      <c r="P33" s="28"/>
      <c r="Q33" s="69">
        <f t="shared" si="1"/>
        <v>0</v>
      </c>
    </row>
    <row r="34" spans="1:17" s="3" customFormat="1" x14ac:dyDescent="0.25">
      <c r="A34" s="66"/>
      <c r="B34" s="8" t="s">
        <v>31</v>
      </c>
      <c r="C34" s="48" t="s">
        <v>17</v>
      </c>
      <c r="D34" s="49"/>
      <c r="E34" s="50" t="s">
        <v>32</v>
      </c>
      <c r="F34" s="113" t="s">
        <v>229</v>
      </c>
      <c r="G34" s="23" t="s">
        <v>102</v>
      </c>
      <c r="H34" s="24">
        <v>11</v>
      </c>
      <c r="I34" s="25">
        <v>8</v>
      </c>
      <c r="J34" s="37">
        <f>3+2+1+2+4</f>
        <v>12</v>
      </c>
      <c r="K34" s="26">
        <f>2774.64+2017.92+2486.42+2080.98</f>
        <v>9359.9599999999991</v>
      </c>
      <c r="L34" s="26">
        <f>2774.64+2017.92+2486.42</f>
        <v>7278.98</v>
      </c>
      <c r="M34" s="62">
        <f>K34-L34</f>
        <v>2080.9799999999996</v>
      </c>
      <c r="N34" s="40">
        <f>2+6+1+1+2</f>
        <v>12</v>
      </c>
      <c r="O34" s="28">
        <f>5123.67+10678.79+8367.85+7134.61</f>
        <v>31304.920000000002</v>
      </c>
      <c r="P34" s="28">
        <f>5123.67+10678.79+8367.85</f>
        <v>24170.31</v>
      </c>
      <c r="Q34" s="27">
        <f>O34-P34</f>
        <v>7134.6100000000006</v>
      </c>
    </row>
    <row r="35" spans="1:17" s="3" customFormat="1" x14ac:dyDescent="0.25">
      <c r="A35" s="66"/>
      <c r="B35" s="8" t="s">
        <v>31</v>
      </c>
      <c r="C35" s="48" t="s">
        <v>17</v>
      </c>
      <c r="D35" s="49"/>
      <c r="E35" s="50" t="s">
        <v>32</v>
      </c>
      <c r="F35" s="22" t="s">
        <v>275</v>
      </c>
      <c r="G35" s="72" t="s">
        <v>107</v>
      </c>
      <c r="H35" s="48">
        <v>8</v>
      </c>
      <c r="I35" s="68"/>
      <c r="J35" s="37"/>
      <c r="K35" s="26"/>
      <c r="L35" s="26"/>
      <c r="M35" s="62">
        <f t="shared" si="3"/>
        <v>0</v>
      </c>
      <c r="N35" s="40">
        <v>8</v>
      </c>
      <c r="O35" s="26">
        <v>13494.84</v>
      </c>
      <c r="P35" s="26">
        <v>13494.84</v>
      </c>
      <c r="Q35" s="69">
        <f t="shared" si="1"/>
        <v>0</v>
      </c>
    </row>
    <row r="36" spans="1:17" s="4" customFormat="1" x14ac:dyDescent="0.25">
      <c r="A36" s="66"/>
      <c r="B36" s="11" t="s">
        <v>33</v>
      </c>
      <c r="C36" s="48" t="s">
        <v>17</v>
      </c>
      <c r="D36" s="49"/>
      <c r="E36" s="50" t="s">
        <v>20</v>
      </c>
      <c r="F36" s="113" t="s">
        <v>240</v>
      </c>
      <c r="G36" s="23" t="s">
        <v>102</v>
      </c>
      <c r="H36" s="24">
        <v>8</v>
      </c>
      <c r="I36" s="25">
        <v>1</v>
      </c>
      <c r="J36" s="37">
        <f>1</f>
        <v>1</v>
      </c>
      <c r="K36" s="26">
        <f>1711.03+1786.7+32151.5</f>
        <v>35649.230000000003</v>
      </c>
      <c r="L36" s="26">
        <f>1711.03+1786.7+32151.5</f>
        <v>35649.230000000003</v>
      </c>
      <c r="M36" s="62">
        <f>K36-L36</f>
        <v>0</v>
      </c>
      <c r="N36" s="40">
        <f>1+1+1+1+2+3</f>
        <v>9</v>
      </c>
      <c r="O36" s="28">
        <f>11042.73+1849.76</f>
        <v>12892.49</v>
      </c>
      <c r="P36" s="28">
        <f>11042.73+1387.32</f>
        <v>12430.05</v>
      </c>
      <c r="Q36" s="27">
        <f>O36-P36</f>
        <v>462.44000000000051</v>
      </c>
    </row>
    <row r="37" spans="1:17" s="4" customFormat="1" x14ac:dyDescent="0.25">
      <c r="A37" s="66"/>
      <c r="B37" s="11" t="s">
        <v>33</v>
      </c>
      <c r="C37" s="48" t="s">
        <v>17</v>
      </c>
      <c r="D37" s="49"/>
      <c r="E37" s="50" t="s">
        <v>20</v>
      </c>
      <c r="F37" s="22" t="s">
        <v>271</v>
      </c>
      <c r="G37" s="67" t="s">
        <v>104</v>
      </c>
      <c r="H37" s="48">
        <v>5</v>
      </c>
      <c r="I37" s="68"/>
      <c r="J37" s="52"/>
      <c r="K37" s="26"/>
      <c r="L37" s="26"/>
      <c r="M37" s="62">
        <f t="shared" si="3"/>
        <v>0</v>
      </c>
      <c r="N37" s="40">
        <v>6</v>
      </c>
      <c r="O37" s="129">
        <v>22827.72</v>
      </c>
      <c r="P37" s="129">
        <v>22827.72</v>
      </c>
      <c r="Q37" s="69">
        <f t="shared" si="1"/>
        <v>0</v>
      </c>
    </row>
    <row r="38" spans="1:17" s="4" customFormat="1" x14ac:dyDescent="0.25">
      <c r="A38" s="66"/>
      <c r="B38" s="11" t="s">
        <v>122</v>
      </c>
      <c r="C38" s="48" t="s">
        <v>17</v>
      </c>
      <c r="D38" s="49"/>
      <c r="E38" s="50" t="s">
        <v>29</v>
      </c>
      <c r="F38" s="51" t="s">
        <v>181</v>
      </c>
      <c r="G38" s="23" t="s">
        <v>102</v>
      </c>
      <c r="H38" s="24">
        <v>4</v>
      </c>
      <c r="I38" s="71">
        <v>4</v>
      </c>
      <c r="J38" s="37">
        <f>1+4</f>
        <v>5</v>
      </c>
      <c r="K38" s="26">
        <f>2080.98</f>
        <v>2080.98</v>
      </c>
      <c r="L38" s="26">
        <f>2080.98</f>
        <v>2080.98</v>
      </c>
      <c r="M38" s="62">
        <f>K38-L38</f>
        <v>0</v>
      </c>
      <c r="N38" s="43">
        <f>1+3</f>
        <v>4</v>
      </c>
      <c r="O38" s="26">
        <f>1386.32+5630.73</f>
        <v>7017.0499999999993</v>
      </c>
      <c r="P38" s="26">
        <f>1386.32+5630.73</f>
        <v>7017.0499999999993</v>
      </c>
      <c r="Q38" s="27">
        <f>O38-P38</f>
        <v>0</v>
      </c>
    </row>
    <row r="39" spans="1:17" s="4" customFormat="1" x14ac:dyDescent="0.25">
      <c r="A39" s="66"/>
      <c r="B39" s="70" t="s">
        <v>122</v>
      </c>
      <c r="C39" s="48" t="s">
        <v>17</v>
      </c>
      <c r="D39" s="49"/>
      <c r="E39" s="50" t="s">
        <v>29</v>
      </c>
      <c r="F39" s="22" t="s">
        <v>286</v>
      </c>
      <c r="G39" s="67" t="s">
        <v>107</v>
      </c>
      <c r="H39" s="48">
        <v>3</v>
      </c>
      <c r="I39" s="68"/>
      <c r="J39" s="37"/>
      <c r="K39" s="26"/>
      <c r="L39" s="26"/>
      <c r="M39" s="62">
        <f t="shared" si="3"/>
        <v>0</v>
      </c>
      <c r="N39" s="40">
        <v>6</v>
      </c>
      <c r="O39" s="129">
        <v>24504.34</v>
      </c>
      <c r="P39" s="129">
        <v>12480.9</v>
      </c>
      <c r="Q39" s="69">
        <f t="shared" si="1"/>
        <v>12023.44</v>
      </c>
    </row>
    <row r="40" spans="1:17" s="3" customFormat="1" x14ac:dyDescent="0.25">
      <c r="A40" s="66"/>
      <c r="B40" s="11" t="s">
        <v>34</v>
      </c>
      <c r="C40" s="48" t="s">
        <v>17</v>
      </c>
      <c r="D40" s="49"/>
      <c r="E40" s="54" t="s">
        <v>35</v>
      </c>
      <c r="F40" s="113" t="s">
        <v>224</v>
      </c>
      <c r="G40" s="23" t="s">
        <v>102</v>
      </c>
      <c r="H40" s="24">
        <v>6</v>
      </c>
      <c r="I40" s="25">
        <v>3</v>
      </c>
      <c r="J40" s="37">
        <f>2+1</f>
        <v>3</v>
      </c>
      <c r="K40" s="26">
        <f>56302.7</f>
        <v>56302.7</v>
      </c>
      <c r="L40" s="26">
        <f>56302.7</f>
        <v>56302.7</v>
      </c>
      <c r="M40" s="62">
        <f>K40-L40</f>
        <v>0</v>
      </c>
      <c r="N40" s="40">
        <f>3+1+6+1+8+1</f>
        <v>20</v>
      </c>
      <c r="O40" s="28">
        <f>7427.59+24260.81+3636.46+4792.57+14422.74</f>
        <v>54540.17</v>
      </c>
      <c r="P40" s="28">
        <f>7427.59+24260.81+3636.46</f>
        <v>35324.86</v>
      </c>
      <c r="Q40" s="27">
        <f>O40-P40</f>
        <v>19215.309999999998</v>
      </c>
    </row>
    <row r="41" spans="1:17" s="3" customFormat="1" x14ac:dyDescent="0.25">
      <c r="A41" s="66"/>
      <c r="B41" s="11" t="s">
        <v>34</v>
      </c>
      <c r="C41" s="48" t="s">
        <v>17</v>
      </c>
      <c r="D41" s="49"/>
      <c r="E41" s="54" t="s">
        <v>35</v>
      </c>
      <c r="F41" s="22" t="s">
        <v>276</v>
      </c>
      <c r="G41" s="72" t="s">
        <v>107</v>
      </c>
      <c r="H41" s="48"/>
      <c r="I41" s="68"/>
      <c r="J41" s="37"/>
      <c r="K41" s="26"/>
      <c r="L41" s="26"/>
      <c r="M41" s="62">
        <f t="shared" si="3"/>
        <v>0</v>
      </c>
      <c r="N41" s="40">
        <v>1</v>
      </c>
      <c r="O41" s="129">
        <v>2080.98</v>
      </c>
      <c r="P41" s="129">
        <v>2080.98</v>
      </c>
      <c r="Q41" s="69">
        <f t="shared" si="1"/>
        <v>0</v>
      </c>
    </row>
    <row r="42" spans="1:17" s="3" customFormat="1" x14ac:dyDescent="0.25">
      <c r="A42" s="66"/>
      <c r="B42" s="7" t="s">
        <v>36</v>
      </c>
      <c r="C42" s="48" t="s">
        <v>17</v>
      </c>
      <c r="D42" s="49"/>
      <c r="E42" s="54" t="s">
        <v>32</v>
      </c>
      <c r="F42" s="113" t="s">
        <v>225</v>
      </c>
      <c r="G42" s="23" t="s">
        <v>102</v>
      </c>
      <c r="H42" s="24">
        <v>9</v>
      </c>
      <c r="I42" s="25">
        <v>7</v>
      </c>
      <c r="J42" s="37">
        <f>1+5+2</f>
        <v>8</v>
      </c>
      <c r="K42" s="26">
        <f>5815.36</f>
        <v>5815.36</v>
      </c>
      <c r="L42" s="26">
        <f>5815.36</f>
        <v>5815.36</v>
      </c>
      <c r="M42" s="62">
        <f t="shared" si="3"/>
        <v>0</v>
      </c>
      <c r="N42" s="40">
        <f>3+3+2+2+3+3</f>
        <v>16</v>
      </c>
      <c r="O42" s="28">
        <f>32725.68+1678.57+17309.46+15455.88+24513.58</f>
        <v>91683.17</v>
      </c>
      <c r="P42" s="28">
        <f>32725.68+1678.57+17309.46+15455.88</f>
        <v>67169.59</v>
      </c>
      <c r="Q42" s="27">
        <f t="shared" si="1"/>
        <v>24513.58</v>
      </c>
    </row>
    <row r="43" spans="1:17" s="3" customFormat="1" x14ac:dyDescent="0.25">
      <c r="A43" s="66"/>
      <c r="B43" s="7" t="s">
        <v>37</v>
      </c>
      <c r="C43" s="48" t="s">
        <v>17</v>
      </c>
      <c r="D43" s="49"/>
      <c r="E43" s="50" t="s">
        <v>20</v>
      </c>
      <c r="F43" s="51" t="s">
        <v>182</v>
      </c>
      <c r="G43" s="23" t="s">
        <v>102</v>
      </c>
      <c r="H43" s="24">
        <v>33</v>
      </c>
      <c r="I43" s="25">
        <v>24</v>
      </c>
      <c r="J43" s="37">
        <f>2+5+4+10+6+1+1</f>
        <v>29</v>
      </c>
      <c r="K43" s="26">
        <f>3883.85+10941.63+5823.79+25427.02+14374.28</f>
        <v>60450.57</v>
      </c>
      <c r="L43" s="26">
        <f>3883.85+10941.63+5823.79+25427.02</f>
        <v>46076.29</v>
      </c>
      <c r="M43" s="62">
        <f t="shared" si="3"/>
        <v>14374.279999999999</v>
      </c>
      <c r="N43" s="40">
        <f>1+9+1+2+2</f>
        <v>15</v>
      </c>
      <c r="O43" s="26">
        <f>9374.97+22204.24+1429.36+5227.88</f>
        <v>38236.449999999997</v>
      </c>
      <c r="P43" s="26">
        <f>9374.97+22204.24+1429.36</f>
        <v>33008.57</v>
      </c>
      <c r="Q43" s="27">
        <f t="shared" si="1"/>
        <v>5227.8799999999974</v>
      </c>
    </row>
    <row r="44" spans="1:17" s="3" customFormat="1" x14ac:dyDescent="0.25">
      <c r="A44" s="66"/>
      <c r="B44" s="7" t="s">
        <v>37</v>
      </c>
      <c r="C44" s="48" t="s">
        <v>17</v>
      </c>
      <c r="D44" s="49"/>
      <c r="E44" s="50" t="s">
        <v>20</v>
      </c>
      <c r="F44" s="22" t="s">
        <v>270</v>
      </c>
      <c r="G44" s="67" t="s">
        <v>104</v>
      </c>
      <c r="H44" s="48"/>
      <c r="I44" s="68"/>
      <c r="J44" s="52"/>
      <c r="K44" s="26"/>
      <c r="L44" s="26"/>
      <c r="M44" s="62">
        <f t="shared" si="3"/>
        <v>0</v>
      </c>
      <c r="N44" s="40"/>
      <c r="O44" s="129"/>
      <c r="P44" s="129"/>
      <c r="Q44" s="69">
        <f t="shared" si="1"/>
        <v>0</v>
      </c>
    </row>
    <row r="45" spans="1:17" s="3" customFormat="1" x14ac:dyDescent="0.25">
      <c r="A45" s="66"/>
      <c r="B45" s="7" t="s">
        <v>37</v>
      </c>
      <c r="C45" s="48" t="s">
        <v>17</v>
      </c>
      <c r="D45" s="49"/>
      <c r="E45" s="50" t="s">
        <v>18</v>
      </c>
      <c r="F45" s="22" t="s">
        <v>330</v>
      </c>
      <c r="G45" s="67" t="s">
        <v>106</v>
      </c>
      <c r="H45" s="48"/>
      <c r="I45" s="68"/>
      <c r="J45" s="52"/>
      <c r="K45" s="26"/>
      <c r="L45" s="26"/>
      <c r="M45" s="62">
        <f t="shared" si="3"/>
        <v>0</v>
      </c>
      <c r="N45" s="40">
        <v>3</v>
      </c>
      <c r="O45" s="129">
        <v>5796</v>
      </c>
      <c r="P45" s="129">
        <v>5796</v>
      </c>
      <c r="Q45" s="69">
        <f t="shared" si="1"/>
        <v>0</v>
      </c>
    </row>
    <row r="46" spans="1:17" s="3" customFormat="1" x14ac:dyDescent="0.25">
      <c r="A46" s="66"/>
      <c r="B46" s="11" t="s">
        <v>38</v>
      </c>
      <c r="C46" s="48" t="s">
        <v>17</v>
      </c>
      <c r="D46" s="49"/>
      <c r="E46" s="50" t="s">
        <v>20</v>
      </c>
      <c r="F46" s="22"/>
      <c r="G46" s="67" t="s">
        <v>104</v>
      </c>
      <c r="H46" s="48"/>
      <c r="I46" s="68"/>
      <c r="J46" s="52"/>
      <c r="K46" s="26"/>
      <c r="L46" s="26"/>
      <c r="M46" s="62">
        <f t="shared" si="3"/>
        <v>0</v>
      </c>
      <c r="N46" s="40"/>
      <c r="O46" s="129"/>
      <c r="P46" s="129"/>
      <c r="Q46" s="69">
        <f t="shared" si="1"/>
        <v>0</v>
      </c>
    </row>
    <row r="47" spans="1:17" s="3" customFormat="1" x14ac:dyDescent="0.25">
      <c r="A47" s="66"/>
      <c r="B47" s="7" t="s">
        <v>39</v>
      </c>
      <c r="C47" s="48" t="s">
        <v>17</v>
      </c>
      <c r="D47" s="49"/>
      <c r="E47" s="54" t="s">
        <v>40</v>
      </c>
      <c r="F47" s="51" t="s">
        <v>183</v>
      </c>
      <c r="G47" s="23" t="s">
        <v>102</v>
      </c>
      <c r="H47" s="24">
        <v>10</v>
      </c>
      <c r="I47" s="25">
        <v>9</v>
      </c>
      <c r="J47" s="37">
        <f>2+7+3</f>
        <v>12</v>
      </c>
      <c r="K47" s="26">
        <f>8228.65+1907.57+6894.86</f>
        <v>17031.079999999998</v>
      </c>
      <c r="L47" s="26">
        <f>8228.65+1907.57+6894.86</f>
        <v>17031.079999999998</v>
      </c>
      <c r="M47" s="62">
        <f>K47-L47</f>
        <v>0</v>
      </c>
      <c r="N47" s="40">
        <f>2+6+2+3+2+1</f>
        <v>16</v>
      </c>
      <c r="O47" s="26">
        <f>40749.07+10873.12+10540.28+8434.44</f>
        <v>70596.91</v>
      </c>
      <c r="P47" s="26">
        <f>40749.07+10873.12+10540.28</f>
        <v>62162.47</v>
      </c>
      <c r="Q47" s="27">
        <f>O47-P47</f>
        <v>8434.4400000000023</v>
      </c>
    </row>
    <row r="48" spans="1:17" s="3" customFormat="1" x14ac:dyDescent="0.25">
      <c r="A48" s="66"/>
      <c r="B48" s="7" t="s">
        <v>39</v>
      </c>
      <c r="C48" s="48" t="s">
        <v>17</v>
      </c>
      <c r="D48" s="49"/>
      <c r="E48" s="54" t="s">
        <v>40</v>
      </c>
      <c r="F48" s="22" t="s">
        <v>294</v>
      </c>
      <c r="G48" s="67" t="s">
        <v>104</v>
      </c>
      <c r="H48" s="48"/>
      <c r="I48" s="68"/>
      <c r="J48" s="52"/>
      <c r="K48" s="26"/>
      <c r="L48" s="26"/>
      <c r="M48" s="62">
        <f t="shared" si="3"/>
        <v>0</v>
      </c>
      <c r="N48" s="40"/>
      <c r="O48" s="129"/>
      <c r="P48" s="129"/>
      <c r="Q48" s="69">
        <f t="shared" si="1"/>
        <v>0</v>
      </c>
    </row>
    <row r="49" spans="1:17" s="3" customFormat="1" x14ac:dyDescent="0.25">
      <c r="A49" s="66"/>
      <c r="B49" s="7" t="s">
        <v>123</v>
      </c>
      <c r="C49" s="48" t="s">
        <v>17</v>
      </c>
      <c r="D49" s="49"/>
      <c r="E49" s="50" t="s">
        <v>20</v>
      </c>
      <c r="F49" s="113" t="s">
        <v>226</v>
      </c>
      <c r="G49" s="23" t="s">
        <v>102</v>
      </c>
      <c r="H49" s="24">
        <v>9</v>
      </c>
      <c r="I49" s="29">
        <v>6</v>
      </c>
      <c r="J49" s="37">
        <f>2+3+2</f>
        <v>7</v>
      </c>
      <c r="K49" s="26">
        <f>3300.88+3465.98</f>
        <v>6766.8600000000006</v>
      </c>
      <c r="L49" s="26">
        <f>3300.88+3465.98</f>
        <v>6766.8600000000006</v>
      </c>
      <c r="M49" s="62">
        <f>K49-L49</f>
        <v>0</v>
      </c>
      <c r="N49" s="40">
        <f>2+3+1+4+1</f>
        <v>11</v>
      </c>
      <c r="O49" s="28">
        <v>25793.34</v>
      </c>
      <c r="P49" s="28">
        <f>3426.63+12026.4</f>
        <v>15453.029999999999</v>
      </c>
      <c r="Q49" s="27">
        <f>O49-P49</f>
        <v>10340.310000000001</v>
      </c>
    </row>
    <row r="50" spans="1:17" s="3" customFormat="1" x14ac:dyDescent="0.25">
      <c r="A50" s="66"/>
      <c r="B50" s="7" t="s">
        <v>123</v>
      </c>
      <c r="C50" s="48" t="s">
        <v>17</v>
      </c>
      <c r="D50" s="49"/>
      <c r="E50" s="54" t="s">
        <v>32</v>
      </c>
      <c r="F50" s="22" t="s">
        <v>287</v>
      </c>
      <c r="G50" s="67" t="s">
        <v>107</v>
      </c>
      <c r="H50" s="48">
        <v>4</v>
      </c>
      <c r="I50" s="68">
        <v>1</v>
      </c>
      <c r="J50" s="37">
        <v>1</v>
      </c>
      <c r="K50" s="26">
        <v>630.6</v>
      </c>
      <c r="L50" s="26"/>
      <c r="M50" s="62">
        <f t="shared" si="3"/>
        <v>630.6</v>
      </c>
      <c r="N50" s="40">
        <v>8</v>
      </c>
      <c r="O50" s="129">
        <v>13652.49</v>
      </c>
      <c r="P50" s="129">
        <v>13652.49</v>
      </c>
      <c r="Q50" s="69">
        <f t="shared" si="1"/>
        <v>0</v>
      </c>
    </row>
    <row r="51" spans="1:17" s="3" customFormat="1" x14ac:dyDescent="0.25">
      <c r="A51" s="66"/>
      <c r="B51" s="8" t="s">
        <v>41</v>
      </c>
      <c r="C51" s="48" t="s">
        <v>17</v>
      </c>
      <c r="D51" s="49"/>
      <c r="E51" s="50" t="s">
        <v>23</v>
      </c>
      <c r="F51" s="22"/>
      <c r="G51" s="67" t="s">
        <v>108</v>
      </c>
      <c r="H51" s="48"/>
      <c r="I51" s="68"/>
      <c r="J51" s="37"/>
      <c r="K51" s="26"/>
      <c r="L51" s="26"/>
      <c r="M51" s="62">
        <f t="shared" si="3"/>
        <v>0</v>
      </c>
      <c r="N51" s="40"/>
      <c r="O51" s="129"/>
      <c r="P51" s="129"/>
      <c r="Q51" s="69">
        <f t="shared" si="1"/>
        <v>0</v>
      </c>
    </row>
    <row r="52" spans="1:17" s="3" customFormat="1" x14ac:dyDescent="0.25">
      <c r="A52" s="66"/>
      <c r="B52" s="8" t="s">
        <v>134</v>
      </c>
      <c r="C52" s="48" t="s">
        <v>17</v>
      </c>
      <c r="D52" s="49"/>
      <c r="E52" s="67" t="s">
        <v>108</v>
      </c>
      <c r="F52" s="22"/>
      <c r="G52" s="23" t="s">
        <v>102</v>
      </c>
      <c r="H52" s="24"/>
      <c r="I52" s="25"/>
      <c r="J52" s="37"/>
      <c r="K52" s="26"/>
      <c r="L52" s="26"/>
      <c r="M52" s="62">
        <f>K52-L52</f>
        <v>0</v>
      </c>
      <c r="N52" s="40"/>
      <c r="O52" s="28"/>
      <c r="P52" s="28"/>
      <c r="Q52" s="27">
        <f>O52-P52</f>
        <v>0</v>
      </c>
    </row>
    <row r="53" spans="1:17" s="3" customFormat="1" x14ac:dyDescent="0.25">
      <c r="A53" s="66"/>
      <c r="B53" s="11" t="s">
        <v>118</v>
      </c>
      <c r="C53" s="48" t="s">
        <v>62</v>
      </c>
      <c r="D53" s="49" t="s">
        <v>151</v>
      </c>
      <c r="E53" s="50" t="s">
        <v>20</v>
      </c>
      <c r="F53" s="22" t="s">
        <v>295</v>
      </c>
      <c r="G53" s="67" t="s">
        <v>104</v>
      </c>
      <c r="H53" s="48">
        <v>18</v>
      </c>
      <c r="I53" s="71">
        <v>5</v>
      </c>
      <c r="J53" s="52">
        <v>12</v>
      </c>
      <c r="K53" s="53">
        <v>8618.2000000000007</v>
      </c>
      <c r="L53" s="53">
        <v>8618.2000000000007</v>
      </c>
      <c r="M53" s="62">
        <f t="shared" si="3"/>
        <v>0</v>
      </c>
      <c r="N53" s="43">
        <v>5</v>
      </c>
      <c r="O53" s="129">
        <v>36575.300000000003</v>
      </c>
      <c r="P53" s="129">
        <v>36575.300000000003</v>
      </c>
      <c r="Q53" s="69">
        <f t="shared" si="1"/>
        <v>0</v>
      </c>
    </row>
    <row r="54" spans="1:17" s="3" customFormat="1" x14ac:dyDescent="0.25">
      <c r="A54" s="66"/>
      <c r="B54" s="8" t="s">
        <v>133</v>
      </c>
      <c r="C54" s="48" t="s">
        <v>17</v>
      </c>
      <c r="D54" s="49"/>
      <c r="E54" s="54" t="s">
        <v>32</v>
      </c>
      <c r="F54" s="22" t="s">
        <v>285</v>
      </c>
      <c r="G54" s="67" t="s">
        <v>107</v>
      </c>
      <c r="H54" s="48">
        <v>5</v>
      </c>
      <c r="I54" s="71">
        <v>3</v>
      </c>
      <c r="J54" s="52">
        <v>3</v>
      </c>
      <c r="K54" s="53">
        <v>6095.8</v>
      </c>
      <c r="L54" s="53">
        <v>3993.8</v>
      </c>
      <c r="M54" s="62">
        <f t="shared" si="3"/>
        <v>2102</v>
      </c>
      <c r="N54" s="43">
        <v>5</v>
      </c>
      <c r="O54" s="129">
        <v>15134.4</v>
      </c>
      <c r="P54" s="129">
        <v>13515.86</v>
      </c>
      <c r="Q54" s="69">
        <f t="shared" si="1"/>
        <v>1618.5399999999991</v>
      </c>
    </row>
    <row r="55" spans="1:17" s="4" customFormat="1" x14ac:dyDescent="0.25">
      <c r="A55" s="66"/>
      <c r="B55" s="11" t="s">
        <v>42</v>
      </c>
      <c r="C55" s="48" t="s">
        <v>17</v>
      </c>
      <c r="D55" s="49"/>
      <c r="E55" s="50" t="s">
        <v>18</v>
      </c>
      <c r="F55" s="115" t="s">
        <v>251</v>
      </c>
      <c r="G55" s="23" t="s">
        <v>102</v>
      </c>
      <c r="H55" s="24">
        <v>14</v>
      </c>
      <c r="I55" s="25">
        <v>12</v>
      </c>
      <c r="J55" s="37">
        <f>3+3+2+7</f>
        <v>15</v>
      </c>
      <c r="K55" s="26">
        <f>3740.51+9036.5+12270.37</f>
        <v>25047.38</v>
      </c>
      <c r="L55" s="26">
        <f>3740.51+9036.5+12270.37</f>
        <v>25047.38</v>
      </c>
      <c r="M55" s="62">
        <f>K55-L55</f>
        <v>0</v>
      </c>
      <c r="N55" s="40">
        <f>2+3+2+1+2+1</f>
        <v>11</v>
      </c>
      <c r="O55" s="28">
        <f>2566.6+9672.01+23634+2266.78</f>
        <v>38139.39</v>
      </c>
      <c r="P55" s="28">
        <f>2566.6+9672.01+23634</f>
        <v>35872.61</v>
      </c>
      <c r="Q55" s="27">
        <f>O55-P55</f>
        <v>2266.7799999999988</v>
      </c>
    </row>
    <row r="56" spans="1:17" s="4" customFormat="1" ht="30" x14ac:dyDescent="0.25">
      <c r="A56" s="66"/>
      <c r="B56" s="11" t="s">
        <v>42</v>
      </c>
      <c r="C56" s="48" t="s">
        <v>135</v>
      </c>
      <c r="D56" s="49" t="s">
        <v>153</v>
      </c>
      <c r="E56" s="50" t="s">
        <v>18</v>
      </c>
      <c r="F56" s="119" t="s">
        <v>269</v>
      </c>
      <c r="G56" s="80" t="s">
        <v>106</v>
      </c>
      <c r="H56" s="48">
        <v>6</v>
      </c>
      <c r="I56" s="71">
        <v>5</v>
      </c>
      <c r="J56" s="38">
        <v>5</v>
      </c>
      <c r="K56" s="26">
        <v>11085</v>
      </c>
      <c r="L56" s="26">
        <v>11085</v>
      </c>
      <c r="M56" s="62">
        <f t="shared" si="3"/>
        <v>0</v>
      </c>
      <c r="N56" s="43">
        <v>12</v>
      </c>
      <c r="O56" s="129">
        <v>23135</v>
      </c>
      <c r="P56" s="129">
        <v>23135</v>
      </c>
      <c r="Q56" s="69">
        <f t="shared" si="1"/>
        <v>0</v>
      </c>
    </row>
    <row r="57" spans="1:17" s="3" customFormat="1" x14ac:dyDescent="0.25">
      <c r="A57" s="66"/>
      <c r="B57" s="8" t="s">
        <v>43</v>
      </c>
      <c r="C57" s="48" t="s">
        <v>17</v>
      </c>
      <c r="D57" s="49"/>
      <c r="E57" s="50" t="s">
        <v>20</v>
      </c>
      <c r="F57" s="51" t="s">
        <v>184</v>
      </c>
      <c r="G57" s="23" t="s">
        <v>102</v>
      </c>
      <c r="H57" s="24">
        <v>9</v>
      </c>
      <c r="I57" s="25">
        <v>7</v>
      </c>
      <c r="J57" s="37">
        <f>1+1+2+1+2</f>
        <v>7</v>
      </c>
      <c r="K57" s="26">
        <f>1292.73+2378.83+1775.14+924.88</f>
        <v>6371.58</v>
      </c>
      <c r="L57" s="26">
        <f>1292.73+2378.83+1775.14+924.88</f>
        <v>6371.58</v>
      </c>
      <c r="M57" s="62">
        <f>K57-L57</f>
        <v>0</v>
      </c>
      <c r="N57" s="40">
        <f>1+1+1+1+1+1</f>
        <v>6</v>
      </c>
      <c r="O57" s="26">
        <f>6507.74+924.88+1261.2+2402.59+462.44</f>
        <v>11558.85</v>
      </c>
      <c r="P57" s="26">
        <f>6507.74+924.88+1261.2+2402.59</f>
        <v>11096.41</v>
      </c>
      <c r="Q57" s="27">
        <f>O57-P57</f>
        <v>462.44000000000051</v>
      </c>
    </row>
    <row r="58" spans="1:17" s="3" customFormat="1" x14ac:dyDescent="0.25">
      <c r="A58" s="66"/>
      <c r="B58" s="8" t="s">
        <v>43</v>
      </c>
      <c r="C58" s="48" t="s">
        <v>17</v>
      </c>
      <c r="D58" s="49"/>
      <c r="E58" s="50" t="s">
        <v>20</v>
      </c>
      <c r="F58" s="22" t="s">
        <v>296</v>
      </c>
      <c r="G58" s="67" t="s">
        <v>104</v>
      </c>
      <c r="H58" s="48">
        <v>5</v>
      </c>
      <c r="I58" s="68">
        <v>2</v>
      </c>
      <c r="J58" s="52">
        <v>2</v>
      </c>
      <c r="K58" s="26">
        <v>3993.8</v>
      </c>
      <c r="L58" s="26">
        <v>3993.8</v>
      </c>
      <c r="M58" s="62">
        <f t="shared" si="3"/>
        <v>0</v>
      </c>
      <c r="N58" s="40"/>
      <c r="O58" s="129"/>
      <c r="P58" s="129"/>
      <c r="Q58" s="69">
        <f t="shared" si="1"/>
        <v>0</v>
      </c>
    </row>
    <row r="59" spans="1:17" s="3" customFormat="1" x14ac:dyDescent="0.25">
      <c r="A59" s="66"/>
      <c r="B59" s="8" t="s">
        <v>159</v>
      </c>
      <c r="C59" s="48" t="s">
        <v>17</v>
      </c>
      <c r="D59" s="49"/>
      <c r="E59" s="50" t="s">
        <v>20</v>
      </c>
      <c r="F59" s="22"/>
      <c r="G59" s="67" t="s">
        <v>102</v>
      </c>
      <c r="H59" s="48"/>
      <c r="I59" s="68"/>
      <c r="J59" s="52"/>
      <c r="K59" s="26"/>
      <c r="L59" s="26"/>
      <c r="M59" s="62">
        <f t="shared" si="3"/>
        <v>0</v>
      </c>
      <c r="N59" s="40"/>
      <c r="O59" s="129"/>
      <c r="P59" s="129"/>
      <c r="Q59" s="27">
        <f t="shared" si="1"/>
        <v>0</v>
      </c>
    </row>
    <row r="60" spans="1:17" s="3" customFormat="1" x14ac:dyDescent="0.25">
      <c r="A60" s="66"/>
      <c r="B60" s="7" t="s">
        <v>44</v>
      </c>
      <c r="C60" s="48" t="s">
        <v>17</v>
      </c>
      <c r="D60" s="49"/>
      <c r="E60" s="50" t="s">
        <v>20</v>
      </c>
      <c r="F60" s="22"/>
      <c r="G60" s="23" t="s">
        <v>102</v>
      </c>
      <c r="H60" s="24"/>
      <c r="I60" s="25"/>
      <c r="J60" s="37"/>
      <c r="K60" s="26"/>
      <c r="L60" s="26"/>
      <c r="M60" s="62">
        <f t="shared" si="3"/>
        <v>0</v>
      </c>
      <c r="N60" s="40"/>
      <c r="O60" s="28"/>
      <c r="P60" s="28"/>
      <c r="Q60" s="27">
        <f t="shared" si="1"/>
        <v>0</v>
      </c>
    </row>
    <row r="61" spans="1:17" s="3" customFormat="1" x14ac:dyDescent="0.25">
      <c r="A61" s="66"/>
      <c r="B61" s="7" t="s">
        <v>44</v>
      </c>
      <c r="C61" s="48" t="s">
        <v>17</v>
      </c>
      <c r="D61" s="49"/>
      <c r="E61" s="50" t="s">
        <v>20</v>
      </c>
      <c r="F61" s="22" t="s">
        <v>327</v>
      </c>
      <c r="G61" s="67" t="s">
        <v>104</v>
      </c>
      <c r="H61" s="48"/>
      <c r="I61" s="68"/>
      <c r="J61" s="52"/>
      <c r="K61" s="26"/>
      <c r="L61" s="26"/>
      <c r="M61" s="62">
        <f t="shared" si="3"/>
        <v>0</v>
      </c>
      <c r="N61" s="40"/>
      <c r="O61" s="129"/>
      <c r="P61" s="129"/>
      <c r="Q61" s="69">
        <f t="shared" si="1"/>
        <v>0</v>
      </c>
    </row>
    <row r="62" spans="1:17" s="4" customFormat="1" x14ac:dyDescent="0.25">
      <c r="A62" s="66"/>
      <c r="B62" s="7" t="s">
        <v>45</v>
      </c>
      <c r="C62" s="48" t="s">
        <v>17</v>
      </c>
      <c r="D62" s="49"/>
      <c r="E62" s="50" t="s">
        <v>20</v>
      </c>
      <c r="F62" s="51" t="s">
        <v>185</v>
      </c>
      <c r="G62" s="23" t="s">
        <v>102</v>
      </c>
      <c r="H62" s="24">
        <v>10</v>
      </c>
      <c r="I62" s="25">
        <v>8</v>
      </c>
      <c r="J62" s="37">
        <f>2+3+1+2+5+1</f>
        <v>14</v>
      </c>
      <c r="K62" s="26">
        <f>2566.54+7565.86+2260.39+3723.38+8435.75+3723.38+1056.26</f>
        <v>29331.559999999998</v>
      </c>
      <c r="L62" s="26">
        <f>2566.54+7565.86+2275.39+8415.75-4638.28</f>
        <v>16185.260000000002</v>
      </c>
      <c r="M62" s="62">
        <f>K62-L62</f>
        <v>13146.299999999996</v>
      </c>
      <c r="N62" s="40">
        <f>4+2+2+1+1+2</f>
        <v>12</v>
      </c>
      <c r="O62" s="28">
        <f>32270.23-11141.43+3767.31+3098.35+3654.29+14362.99</f>
        <v>46011.74</v>
      </c>
      <c r="P62" s="28">
        <f>32270.23-11141.43+3767.31+3098.35+3654.29</f>
        <v>31648.75</v>
      </c>
      <c r="Q62" s="27">
        <f>O62-P62</f>
        <v>14362.989999999998</v>
      </c>
    </row>
    <row r="63" spans="1:17" s="4" customFormat="1" x14ac:dyDescent="0.25">
      <c r="A63" s="66"/>
      <c r="B63" s="7" t="s">
        <v>45</v>
      </c>
      <c r="C63" s="48" t="s">
        <v>17</v>
      </c>
      <c r="D63" s="49"/>
      <c r="E63" s="50" t="s">
        <v>20</v>
      </c>
      <c r="F63" s="22" t="s">
        <v>297</v>
      </c>
      <c r="G63" s="67" t="s">
        <v>104</v>
      </c>
      <c r="H63" s="48">
        <v>1</v>
      </c>
      <c r="I63" s="68"/>
      <c r="J63" s="52"/>
      <c r="K63" s="26"/>
      <c r="L63" s="26"/>
      <c r="M63" s="62">
        <f t="shared" si="3"/>
        <v>0</v>
      </c>
      <c r="N63" s="40"/>
      <c r="O63" s="129"/>
      <c r="P63" s="129"/>
      <c r="Q63" s="69">
        <f t="shared" si="1"/>
        <v>0</v>
      </c>
    </row>
    <row r="64" spans="1:17" s="3" customFormat="1" ht="45" x14ac:dyDescent="0.25">
      <c r="A64" s="66"/>
      <c r="B64" s="8" t="s">
        <v>46</v>
      </c>
      <c r="C64" s="48" t="s">
        <v>135</v>
      </c>
      <c r="D64" s="49" t="s">
        <v>154</v>
      </c>
      <c r="E64" s="127" t="s">
        <v>18</v>
      </c>
      <c r="F64" s="114" t="s">
        <v>241</v>
      </c>
      <c r="G64" s="7" t="s">
        <v>102</v>
      </c>
      <c r="H64" s="24">
        <v>20</v>
      </c>
      <c r="I64" s="25">
        <v>13</v>
      </c>
      <c r="J64" s="38">
        <f>2+2+4+5+1</f>
        <v>14</v>
      </c>
      <c r="K64" s="26">
        <f>2357.58+6418.36+4910.69+39276.27</f>
        <v>52962.899999999994</v>
      </c>
      <c r="L64" s="26">
        <f>2357.58+6418.36+4910.69+39276.27</f>
        <v>52962.899999999994</v>
      </c>
      <c r="M64" s="62">
        <f>K64-L64</f>
        <v>0</v>
      </c>
      <c r="N64" s="40">
        <f>7+9+5+7+5+5</f>
        <v>38</v>
      </c>
      <c r="O64" s="28">
        <f>61937.88+25092+6179.09</f>
        <v>93208.97</v>
      </c>
      <c r="P64" s="28">
        <f>61937.88+5835.94</f>
        <v>67773.819999999992</v>
      </c>
      <c r="Q64" s="27">
        <f>O64-P64</f>
        <v>25435.150000000009</v>
      </c>
    </row>
    <row r="65" spans="1:17" s="3" customFormat="1" ht="45" x14ac:dyDescent="0.25">
      <c r="A65" s="66">
        <v>22</v>
      </c>
      <c r="B65" s="11" t="s">
        <v>109</v>
      </c>
      <c r="C65" s="48" t="s">
        <v>135</v>
      </c>
      <c r="D65" s="49" t="s">
        <v>154</v>
      </c>
      <c r="E65" s="50" t="s">
        <v>18</v>
      </c>
      <c r="F65" s="119" t="s">
        <v>270</v>
      </c>
      <c r="G65" s="67" t="s">
        <v>106</v>
      </c>
      <c r="H65" s="48">
        <v>4</v>
      </c>
      <c r="I65" s="71">
        <v>2</v>
      </c>
      <c r="J65" s="38">
        <v>3</v>
      </c>
      <c r="K65" s="26">
        <v>4330</v>
      </c>
      <c r="L65" s="26">
        <v>4330</v>
      </c>
      <c r="M65" s="62">
        <f t="shared" si="3"/>
        <v>0</v>
      </c>
      <c r="N65" s="40">
        <v>7</v>
      </c>
      <c r="O65" s="129">
        <v>26317</v>
      </c>
      <c r="P65" s="129">
        <v>26317</v>
      </c>
      <c r="Q65" s="69">
        <f t="shared" si="1"/>
        <v>0</v>
      </c>
    </row>
    <row r="66" spans="1:17" s="3" customFormat="1" x14ac:dyDescent="0.25">
      <c r="A66" s="66"/>
      <c r="B66" s="8" t="s">
        <v>114</v>
      </c>
      <c r="C66" s="48" t="s">
        <v>17</v>
      </c>
      <c r="D66" s="49"/>
      <c r="E66" s="50" t="s">
        <v>20</v>
      </c>
      <c r="F66" s="51" t="s">
        <v>186</v>
      </c>
      <c r="G66" s="23" t="s">
        <v>102</v>
      </c>
      <c r="H66" s="24">
        <v>10</v>
      </c>
      <c r="I66" s="25">
        <v>7</v>
      </c>
      <c r="J66" s="37">
        <f>2+1+1+2</f>
        <v>6</v>
      </c>
      <c r="K66" s="26">
        <f>924.88</f>
        <v>924.88</v>
      </c>
      <c r="L66" s="26">
        <f>924.88</f>
        <v>924.88</v>
      </c>
      <c r="M66" s="62">
        <f>K66-L66</f>
        <v>0</v>
      </c>
      <c r="N66" s="40">
        <f>1+2+1+1</f>
        <v>5</v>
      </c>
      <c r="O66" s="28">
        <f>2145.31+17008.21+1716.81+1144.54</f>
        <v>22014.870000000003</v>
      </c>
      <c r="P66" s="28">
        <f>2145.31+17008.21+1716.81</f>
        <v>20870.330000000002</v>
      </c>
      <c r="Q66" s="27">
        <f>O66-P66</f>
        <v>1144.5400000000009</v>
      </c>
    </row>
    <row r="67" spans="1:17" s="3" customFormat="1" x14ac:dyDescent="0.25">
      <c r="A67" s="66"/>
      <c r="B67" s="8" t="s">
        <v>114</v>
      </c>
      <c r="C67" s="48" t="s">
        <v>17</v>
      </c>
      <c r="D67" s="49"/>
      <c r="E67" s="50" t="s">
        <v>20</v>
      </c>
      <c r="F67" s="22" t="s">
        <v>298</v>
      </c>
      <c r="G67" s="67" t="s">
        <v>104</v>
      </c>
      <c r="H67" s="48">
        <v>10</v>
      </c>
      <c r="I67" s="68">
        <v>4</v>
      </c>
      <c r="J67" s="52">
        <v>4</v>
      </c>
      <c r="K67" s="26">
        <v>7412.94</v>
      </c>
      <c r="L67" s="26">
        <v>7412.94</v>
      </c>
      <c r="M67" s="62">
        <f t="shared" si="3"/>
        <v>0</v>
      </c>
      <c r="N67" s="40">
        <v>9</v>
      </c>
      <c r="O67" s="129">
        <v>36490.699999999997</v>
      </c>
      <c r="P67" s="129">
        <v>36490.699999999997</v>
      </c>
      <c r="Q67" s="69">
        <f t="shared" si="1"/>
        <v>0</v>
      </c>
    </row>
    <row r="68" spans="1:17" s="3" customFormat="1" x14ac:dyDescent="0.25">
      <c r="A68" s="66"/>
      <c r="B68" s="11" t="s">
        <v>47</v>
      </c>
      <c r="C68" s="48" t="s">
        <v>17</v>
      </c>
      <c r="D68" s="49"/>
      <c r="E68" s="50" t="s">
        <v>20</v>
      </c>
      <c r="F68" s="51" t="s">
        <v>187</v>
      </c>
      <c r="G68" s="23" t="s">
        <v>102</v>
      </c>
      <c r="H68" s="24">
        <v>13</v>
      </c>
      <c r="I68" s="25">
        <v>7</v>
      </c>
      <c r="J68" s="37">
        <f>1+2+2+1+1</f>
        <v>7</v>
      </c>
      <c r="K68" s="26">
        <f>924.88+2289.08+4117.82</f>
        <v>7331.78</v>
      </c>
      <c r="L68" s="26">
        <f>924.88+2289.08+4117.82</f>
        <v>7331.78</v>
      </c>
      <c r="M68" s="62">
        <f t="shared" si="3"/>
        <v>0</v>
      </c>
      <c r="N68" s="40">
        <f>2+2+2+2+1</f>
        <v>9</v>
      </c>
      <c r="O68" s="28">
        <f>34941.24+11312+44956.74+2735.45</f>
        <v>93945.43</v>
      </c>
      <c r="P68" s="28">
        <f>34941.24+11312+44956.74</f>
        <v>91209.98</v>
      </c>
      <c r="Q68" s="27">
        <f t="shared" si="1"/>
        <v>2735.4499999999971</v>
      </c>
    </row>
    <row r="69" spans="1:17" s="3" customFormat="1" x14ac:dyDescent="0.25">
      <c r="A69" s="66"/>
      <c r="B69" s="11" t="s">
        <v>48</v>
      </c>
      <c r="C69" s="48" t="s">
        <v>17</v>
      </c>
      <c r="D69" s="49"/>
      <c r="E69" s="50" t="s">
        <v>49</v>
      </c>
      <c r="F69" s="51" t="s">
        <v>188</v>
      </c>
      <c r="G69" s="23" t="s">
        <v>102</v>
      </c>
      <c r="H69" s="24">
        <v>18</v>
      </c>
      <c r="I69" s="25">
        <v>9</v>
      </c>
      <c r="J69" s="37">
        <f>2+6+5+2</f>
        <v>15</v>
      </c>
      <c r="K69" s="26">
        <f>3300.88+9414.09+7099.4+9414.09</f>
        <v>29228.460000000003</v>
      </c>
      <c r="L69" s="26">
        <f>3300.88+18828.18</f>
        <v>22129.06</v>
      </c>
      <c r="M69" s="62">
        <f t="shared" si="3"/>
        <v>7099.4000000000015</v>
      </c>
      <c r="N69" s="40">
        <f>5+1+2</f>
        <v>8</v>
      </c>
      <c r="O69" s="26">
        <f>15947.42+2698.97+5125+3462.17</f>
        <v>27233.559999999998</v>
      </c>
      <c r="P69" s="26">
        <f>15947.42+2698.97+5125</f>
        <v>23771.39</v>
      </c>
      <c r="Q69" s="27">
        <f t="shared" si="1"/>
        <v>3462.1699999999983</v>
      </c>
    </row>
    <row r="70" spans="1:17" s="3" customFormat="1" x14ac:dyDescent="0.25">
      <c r="A70" s="66"/>
      <c r="B70" s="11" t="s">
        <v>48</v>
      </c>
      <c r="C70" s="48" t="s">
        <v>17</v>
      </c>
      <c r="D70" s="49"/>
      <c r="E70" s="50" t="s">
        <v>49</v>
      </c>
      <c r="F70" s="22" t="s">
        <v>277</v>
      </c>
      <c r="G70" s="67" t="s">
        <v>105</v>
      </c>
      <c r="H70" s="48">
        <v>6</v>
      </c>
      <c r="I70" s="68">
        <v>1</v>
      </c>
      <c r="J70" s="37">
        <v>1</v>
      </c>
      <c r="K70" s="26">
        <v>2732.6</v>
      </c>
      <c r="L70" s="26"/>
      <c r="M70" s="62">
        <f t="shared" si="3"/>
        <v>2732.6</v>
      </c>
      <c r="N70" s="40">
        <v>7</v>
      </c>
      <c r="O70" s="129">
        <v>38243.49</v>
      </c>
      <c r="P70" s="129">
        <v>27943.69</v>
      </c>
      <c r="Q70" s="27">
        <f t="shared" si="1"/>
        <v>10299.799999999999</v>
      </c>
    </row>
    <row r="71" spans="1:17" s="3" customFormat="1" x14ac:dyDescent="0.25">
      <c r="A71" s="66"/>
      <c r="B71" s="7" t="s">
        <v>50</v>
      </c>
      <c r="C71" s="48" t="s">
        <v>17</v>
      </c>
      <c r="D71" s="49"/>
      <c r="E71" s="50" t="s">
        <v>20</v>
      </c>
      <c r="F71" s="22"/>
      <c r="G71" s="23" t="s">
        <v>102</v>
      </c>
      <c r="H71" s="24"/>
      <c r="I71" s="25"/>
      <c r="J71" s="37"/>
      <c r="K71" s="26"/>
      <c r="L71" s="26"/>
      <c r="M71" s="62">
        <f>K71-L71</f>
        <v>0</v>
      </c>
      <c r="N71" s="40"/>
      <c r="O71" s="28"/>
      <c r="P71" s="28"/>
      <c r="Q71" s="27">
        <f>O71-P71</f>
        <v>0</v>
      </c>
    </row>
    <row r="72" spans="1:17" s="3" customFormat="1" x14ac:dyDescent="0.25">
      <c r="A72" s="66"/>
      <c r="B72" s="7" t="s">
        <v>50</v>
      </c>
      <c r="C72" s="48" t="s">
        <v>17</v>
      </c>
      <c r="D72" s="49"/>
      <c r="E72" s="50" t="s">
        <v>20</v>
      </c>
      <c r="F72" s="22"/>
      <c r="G72" s="67" t="s">
        <v>104</v>
      </c>
      <c r="H72" s="48"/>
      <c r="I72" s="68"/>
      <c r="J72" s="52"/>
      <c r="K72" s="26"/>
      <c r="L72" s="26"/>
      <c r="M72" s="62">
        <f t="shared" si="3"/>
        <v>0</v>
      </c>
      <c r="N72" s="40"/>
      <c r="O72" s="129"/>
      <c r="P72" s="129"/>
      <c r="Q72" s="69">
        <f t="shared" si="1"/>
        <v>0</v>
      </c>
    </row>
    <row r="73" spans="1:17" s="3" customFormat="1" x14ac:dyDescent="0.25">
      <c r="A73" s="66"/>
      <c r="B73" s="11" t="s">
        <v>51</v>
      </c>
      <c r="C73" s="48" t="s">
        <v>17</v>
      </c>
      <c r="D73" s="49"/>
      <c r="E73" s="50" t="s">
        <v>20</v>
      </c>
      <c r="F73" s="51" t="s">
        <v>189</v>
      </c>
      <c r="G73" s="23" t="s">
        <v>102</v>
      </c>
      <c r="H73" s="24">
        <v>10</v>
      </c>
      <c r="I73" s="25">
        <v>7</v>
      </c>
      <c r="J73" s="37">
        <f>1+3+2+1+1+1</f>
        <v>9</v>
      </c>
      <c r="K73" s="26">
        <f>1040.49+7537.65+6989.97+7537.65+742.01</f>
        <v>23847.77</v>
      </c>
      <c r="L73" s="26">
        <f>1040.49+15075.3</f>
        <v>16115.789999999999</v>
      </c>
      <c r="M73" s="62">
        <f>K73-L73</f>
        <v>7731.9800000000014</v>
      </c>
      <c r="N73" s="40">
        <f>1+1+2</f>
        <v>4</v>
      </c>
      <c r="O73" s="26">
        <f>2426.81+2722.94</f>
        <v>5149.75</v>
      </c>
      <c r="P73" s="26">
        <f>2426.81</f>
        <v>2426.81</v>
      </c>
      <c r="Q73" s="27">
        <f>O73-P73</f>
        <v>2722.94</v>
      </c>
    </row>
    <row r="74" spans="1:17" s="3" customFormat="1" x14ac:dyDescent="0.25">
      <c r="A74" s="66"/>
      <c r="B74" s="11" t="s">
        <v>51</v>
      </c>
      <c r="C74" s="48" t="s">
        <v>17</v>
      </c>
      <c r="D74" s="49"/>
      <c r="E74" s="50" t="s">
        <v>20</v>
      </c>
      <c r="F74" s="22" t="s">
        <v>268</v>
      </c>
      <c r="G74" s="67" t="s">
        <v>104</v>
      </c>
      <c r="H74" s="48">
        <v>7</v>
      </c>
      <c r="I74" s="68">
        <v>1</v>
      </c>
      <c r="J74" s="52">
        <v>1</v>
      </c>
      <c r="K74" s="26">
        <v>2102.02</v>
      </c>
      <c r="L74" s="26">
        <v>2102.02</v>
      </c>
      <c r="M74" s="62">
        <f t="shared" si="3"/>
        <v>0</v>
      </c>
      <c r="N74" s="40">
        <v>7</v>
      </c>
      <c r="O74" s="129">
        <v>26064.799999999999</v>
      </c>
      <c r="P74" s="129">
        <v>26064.799999999999</v>
      </c>
      <c r="Q74" s="69">
        <f t="shared" si="1"/>
        <v>0</v>
      </c>
    </row>
    <row r="75" spans="1:17" s="3" customFormat="1" x14ac:dyDescent="0.25">
      <c r="A75" s="66"/>
      <c r="B75" s="7" t="s">
        <v>52</v>
      </c>
      <c r="C75" s="48" t="s">
        <v>17</v>
      </c>
      <c r="D75" s="49"/>
      <c r="E75" s="50" t="s">
        <v>20</v>
      </c>
      <c r="F75" s="51" t="s">
        <v>190</v>
      </c>
      <c r="G75" s="23" t="s">
        <v>102</v>
      </c>
      <c r="H75" s="24">
        <v>8</v>
      </c>
      <c r="I75" s="25">
        <v>4</v>
      </c>
      <c r="J75" s="37">
        <f>3+1+1+2</f>
        <v>7</v>
      </c>
      <c r="K75" s="26">
        <f>3299.51+6820.99+441.42</f>
        <v>10561.92</v>
      </c>
      <c r="L75" s="26">
        <f>3299.51+6820.99</f>
        <v>10120.5</v>
      </c>
      <c r="M75" s="62">
        <f t="shared" si="3"/>
        <v>441.42000000000007</v>
      </c>
      <c r="N75" s="40">
        <f>3+1+1+1+1</f>
        <v>7</v>
      </c>
      <c r="O75" s="26">
        <f>1581.28+420.4+1526.05+4879.9+2157.98</f>
        <v>10565.609999999999</v>
      </c>
      <c r="P75" s="26">
        <f>1581.28+420.4+1526.05+4879.9</f>
        <v>8407.6299999999992</v>
      </c>
      <c r="Q75" s="27">
        <f t="shared" si="1"/>
        <v>2157.9799999999996</v>
      </c>
    </row>
    <row r="76" spans="1:17" s="3" customFormat="1" x14ac:dyDescent="0.25">
      <c r="A76" s="66"/>
      <c r="B76" s="7" t="s">
        <v>124</v>
      </c>
      <c r="C76" s="48" t="s">
        <v>17</v>
      </c>
      <c r="D76" s="49"/>
      <c r="E76" s="50" t="s">
        <v>145</v>
      </c>
      <c r="F76" s="51" t="s">
        <v>256</v>
      </c>
      <c r="G76" s="23" t="s">
        <v>102</v>
      </c>
      <c r="H76" s="24">
        <v>18</v>
      </c>
      <c r="I76" s="25">
        <v>11</v>
      </c>
      <c r="J76" s="37">
        <f>1+1+2+2+1+2+2</f>
        <v>11</v>
      </c>
      <c r="K76" s="26">
        <f>7630.25+1156.1+1144.54+1144.54+1387.32+2285.27</f>
        <v>14748.02</v>
      </c>
      <c r="L76" s="26">
        <f>7630.25+1156.1+1144.54+1144.54+1387.32</f>
        <v>12462.75</v>
      </c>
      <c r="M76" s="62">
        <f t="shared" ref="M76" si="4">K76-L76</f>
        <v>2285.2700000000004</v>
      </c>
      <c r="N76" s="40">
        <f>1+7+5+1</f>
        <v>14</v>
      </c>
      <c r="O76" s="28">
        <f>419.4+12419.99+2365.38</f>
        <v>15204.77</v>
      </c>
      <c r="P76" s="28">
        <f>419.4+12419.99</f>
        <v>12839.39</v>
      </c>
      <c r="Q76" s="27">
        <f t="shared" si="1"/>
        <v>2365.380000000001</v>
      </c>
    </row>
    <row r="77" spans="1:17" s="3" customFormat="1" x14ac:dyDescent="0.25">
      <c r="A77" s="66"/>
      <c r="B77" s="7" t="s">
        <v>124</v>
      </c>
      <c r="C77" s="48" t="s">
        <v>17</v>
      </c>
      <c r="D77" s="49"/>
      <c r="E77" s="50" t="s">
        <v>145</v>
      </c>
      <c r="F77" s="22" t="s">
        <v>262</v>
      </c>
      <c r="G77" s="67" t="s">
        <v>108</v>
      </c>
      <c r="H77" s="48">
        <v>23</v>
      </c>
      <c r="I77" s="71">
        <v>1</v>
      </c>
      <c r="J77" s="52">
        <v>1</v>
      </c>
      <c r="K77" s="53">
        <v>1471</v>
      </c>
      <c r="L77" s="53"/>
      <c r="M77" s="62">
        <f t="shared" ref="M77:M140" si="5">K77-L77</f>
        <v>1471</v>
      </c>
      <c r="N77" s="43">
        <v>5</v>
      </c>
      <c r="O77" s="129">
        <v>7987.6</v>
      </c>
      <c r="P77" s="129">
        <v>4414.2</v>
      </c>
      <c r="Q77" s="69">
        <f t="shared" si="1"/>
        <v>3573.4000000000005</v>
      </c>
    </row>
    <row r="78" spans="1:17" s="3" customFormat="1" x14ac:dyDescent="0.25">
      <c r="A78" s="66"/>
      <c r="B78" s="11" t="s">
        <v>101</v>
      </c>
      <c r="C78" s="48" t="s">
        <v>17</v>
      </c>
      <c r="D78" s="49"/>
      <c r="E78" s="54" t="s">
        <v>20</v>
      </c>
      <c r="F78" s="51" t="s">
        <v>191</v>
      </c>
      <c r="G78" s="23" t="s">
        <v>102</v>
      </c>
      <c r="H78" s="24">
        <v>16</v>
      </c>
      <c r="I78" s="25">
        <v>4</v>
      </c>
      <c r="J78" s="37">
        <f>1+2+1</f>
        <v>4</v>
      </c>
      <c r="K78" s="26">
        <f>2357.58+6418.36+774.59+1807.72</f>
        <v>11358.249999999998</v>
      </c>
      <c r="L78" s="26">
        <f>2357.58+6418.36+774.59+1807.72</f>
        <v>11358.249999999998</v>
      </c>
      <c r="M78" s="62">
        <f t="shared" si="5"/>
        <v>0</v>
      </c>
      <c r="N78" s="40">
        <f>1+2+3+2+2+1+1+1</f>
        <v>13</v>
      </c>
      <c r="O78" s="26">
        <v>57681.75</v>
      </c>
      <c r="P78" s="26">
        <f>26328.48+5024.79+14062.26</f>
        <v>45415.53</v>
      </c>
      <c r="Q78" s="27">
        <f t="shared" si="1"/>
        <v>12266.220000000001</v>
      </c>
    </row>
    <row r="79" spans="1:17" s="3" customFormat="1" x14ac:dyDescent="0.25">
      <c r="A79" s="66"/>
      <c r="B79" s="8" t="s">
        <v>53</v>
      </c>
      <c r="C79" s="48" t="s">
        <v>17</v>
      </c>
      <c r="D79" s="49"/>
      <c r="E79" s="54" t="s">
        <v>20</v>
      </c>
      <c r="F79" s="51" t="s">
        <v>242</v>
      </c>
      <c r="G79" s="23" t="s">
        <v>102</v>
      </c>
      <c r="H79" s="24"/>
      <c r="I79" s="25"/>
      <c r="J79" s="37"/>
      <c r="K79" s="26">
        <f>9845.04</f>
        <v>9845.0400000000009</v>
      </c>
      <c r="L79" s="26">
        <f>9845.04</f>
        <v>9845.0400000000009</v>
      </c>
      <c r="M79" s="62">
        <f t="shared" si="5"/>
        <v>0</v>
      </c>
      <c r="N79" s="40">
        <f>1</f>
        <v>1</v>
      </c>
      <c r="O79" s="28"/>
      <c r="P79" s="28"/>
      <c r="Q79" s="27">
        <f t="shared" si="1"/>
        <v>0</v>
      </c>
    </row>
    <row r="80" spans="1:17" s="3" customFormat="1" ht="30" x14ac:dyDescent="0.25">
      <c r="A80" s="66"/>
      <c r="B80" s="7" t="s">
        <v>54</v>
      </c>
      <c r="C80" s="48" t="s">
        <v>135</v>
      </c>
      <c r="D80" s="49" t="s">
        <v>148</v>
      </c>
      <c r="E80" s="50" t="s">
        <v>20</v>
      </c>
      <c r="F80" s="114" t="s">
        <v>192</v>
      </c>
      <c r="G80" s="23" t="s">
        <v>102</v>
      </c>
      <c r="H80" s="24">
        <v>19</v>
      </c>
      <c r="I80" s="25">
        <v>10</v>
      </c>
      <c r="J80" s="38">
        <f>1+1+1+2+2+2+1+4</f>
        <v>14</v>
      </c>
      <c r="K80" s="26">
        <f>3630.96+1513.44+2080.98+3013.84+1156.1+462.44</f>
        <v>11857.76</v>
      </c>
      <c r="L80" s="26">
        <f>3630.96+1513.44+2080.98+3013.84+1156.1+462.44</f>
        <v>11857.76</v>
      </c>
      <c r="M80" s="62">
        <f t="shared" si="5"/>
        <v>0</v>
      </c>
      <c r="N80" s="40">
        <f>5+1+1+1+1</f>
        <v>9</v>
      </c>
      <c r="O80" s="28">
        <f>10168.92+2999.63+774.59+1849.76</f>
        <v>15792.9</v>
      </c>
      <c r="P80" s="28">
        <f>10168.92+2999.63+774.59</f>
        <v>13943.14</v>
      </c>
      <c r="Q80" s="27">
        <f t="shared" si="1"/>
        <v>1849.7600000000002</v>
      </c>
    </row>
    <row r="81" spans="1:17" s="3" customFormat="1" ht="30" x14ac:dyDescent="0.25">
      <c r="A81" s="66"/>
      <c r="B81" s="8" t="s">
        <v>55</v>
      </c>
      <c r="C81" s="48" t="s">
        <v>17</v>
      </c>
      <c r="D81" s="49" t="s">
        <v>147</v>
      </c>
      <c r="E81" s="50" t="s">
        <v>18</v>
      </c>
      <c r="F81" s="115" t="s">
        <v>252</v>
      </c>
      <c r="G81" s="23" t="s">
        <v>102</v>
      </c>
      <c r="H81" s="24">
        <v>4</v>
      </c>
      <c r="I81" s="25">
        <v>3</v>
      </c>
      <c r="J81" s="37">
        <f>1+2</f>
        <v>3</v>
      </c>
      <c r="K81" s="26">
        <f>630.6</f>
        <v>630.6</v>
      </c>
      <c r="L81" s="26">
        <f>630.6</f>
        <v>630.6</v>
      </c>
      <c r="M81" s="62">
        <f t="shared" si="5"/>
        <v>0</v>
      </c>
      <c r="N81" s="40">
        <f>1+1</f>
        <v>2</v>
      </c>
      <c r="O81" s="28">
        <f>1761.9</f>
        <v>1761.9</v>
      </c>
      <c r="P81" s="28">
        <f>1761.9</f>
        <v>1761.9</v>
      </c>
      <c r="Q81" s="27">
        <f t="shared" si="1"/>
        <v>0</v>
      </c>
    </row>
    <row r="82" spans="1:17" s="3" customFormat="1" ht="30" x14ac:dyDescent="0.25">
      <c r="A82" s="66"/>
      <c r="B82" s="11" t="s">
        <v>55</v>
      </c>
      <c r="C82" s="48" t="s">
        <v>135</v>
      </c>
      <c r="D82" s="49" t="s">
        <v>147</v>
      </c>
      <c r="E82" s="50" t="s">
        <v>18</v>
      </c>
      <c r="F82" s="119" t="s">
        <v>271</v>
      </c>
      <c r="G82" s="96" t="s">
        <v>106</v>
      </c>
      <c r="H82" s="48">
        <v>9</v>
      </c>
      <c r="I82" s="71">
        <v>7</v>
      </c>
      <c r="J82" s="38">
        <v>7</v>
      </c>
      <c r="K82" s="26">
        <v>12002</v>
      </c>
      <c r="L82" s="26">
        <v>12002</v>
      </c>
      <c r="M82" s="62">
        <f t="shared" si="5"/>
        <v>0</v>
      </c>
      <c r="N82" s="40">
        <v>4</v>
      </c>
      <c r="O82" s="129">
        <v>15765</v>
      </c>
      <c r="P82" s="129">
        <v>15765</v>
      </c>
      <c r="Q82" s="69">
        <f t="shared" ref="Q82:Q150" si="6">O82-P82</f>
        <v>0</v>
      </c>
    </row>
    <row r="83" spans="1:17" s="3" customFormat="1" x14ac:dyDescent="0.25">
      <c r="A83" s="66"/>
      <c r="B83" s="11" t="s">
        <v>131</v>
      </c>
      <c r="C83" s="48" t="s">
        <v>135</v>
      </c>
      <c r="D83" s="49"/>
      <c r="E83" s="50" t="s">
        <v>20</v>
      </c>
      <c r="F83" s="115" t="s">
        <v>323</v>
      </c>
      <c r="G83" s="23" t="s">
        <v>102</v>
      </c>
      <c r="H83" s="24"/>
      <c r="I83" s="25"/>
      <c r="J83" s="37"/>
      <c r="K83" s="26"/>
      <c r="L83" s="26"/>
      <c r="M83" s="62">
        <f t="shared" si="5"/>
        <v>0</v>
      </c>
      <c r="N83" s="40">
        <f>1+1</f>
        <v>2</v>
      </c>
      <c r="O83" s="28">
        <f>1260.2+2080.98</f>
        <v>3341.1800000000003</v>
      </c>
      <c r="P83" s="28">
        <f>1260.2</f>
        <v>1260.2</v>
      </c>
      <c r="Q83" s="27">
        <f t="shared" si="6"/>
        <v>2080.9800000000005</v>
      </c>
    </row>
    <row r="84" spans="1:17" s="4" customFormat="1" x14ac:dyDescent="0.25">
      <c r="A84" s="66"/>
      <c r="B84" s="11" t="s">
        <v>56</v>
      </c>
      <c r="C84" s="48" t="s">
        <v>17</v>
      </c>
      <c r="D84" s="49"/>
      <c r="E84" s="50" t="s">
        <v>20</v>
      </c>
      <c r="F84" s="115" t="s">
        <v>253</v>
      </c>
      <c r="G84" s="23" t="s">
        <v>102</v>
      </c>
      <c r="H84" s="24">
        <v>5</v>
      </c>
      <c r="I84" s="25">
        <v>4</v>
      </c>
      <c r="J84" s="37">
        <f>2+2</f>
        <v>4</v>
      </c>
      <c r="K84" s="26"/>
      <c r="L84" s="26"/>
      <c r="M84" s="62">
        <f t="shared" si="5"/>
        <v>0</v>
      </c>
      <c r="N84" s="40">
        <f>2</f>
        <v>2</v>
      </c>
      <c r="O84" s="28">
        <f>1848.76+1387.32</f>
        <v>3236.08</v>
      </c>
      <c r="P84" s="28">
        <f>1848.76</f>
        <v>1848.76</v>
      </c>
      <c r="Q84" s="27">
        <f t="shared" si="6"/>
        <v>1387.32</v>
      </c>
    </row>
    <row r="85" spans="1:17" s="4" customFormat="1" x14ac:dyDescent="0.25">
      <c r="A85" s="66"/>
      <c r="B85" s="11" t="s">
        <v>56</v>
      </c>
      <c r="C85" s="48" t="s">
        <v>17</v>
      </c>
      <c r="D85" s="49"/>
      <c r="E85" s="50" t="s">
        <v>20</v>
      </c>
      <c r="F85" s="22" t="s">
        <v>299</v>
      </c>
      <c r="G85" s="67" t="s">
        <v>104</v>
      </c>
      <c r="H85" s="48">
        <v>19</v>
      </c>
      <c r="I85" s="68">
        <v>7</v>
      </c>
      <c r="J85" s="52">
        <v>7</v>
      </c>
      <c r="K85" s="26">
        <v>12485.88</v>
      </c>
      <c r="L85" s="26">
        <v>12485.88</v>
      </c>
      <c r="M85" s="62">
        <f t="shared" si="5"/>
        <v>0</v>
      </c>
      <c r="N85" s="40">
        <v>18</v>
      </c>
      <c r="O85" s="129">
        <v>44592.38</v>
      </c>
      <c r="P85" s="129">
        <v>44592.38</v>
      </c>
      <c r="Q85" s="69">
        <f t="shared" si="6"/>
        <v>0</v>
      </c>
    </row>
    <row r="86" spans="1:17" s="3" customFormat="1" x14ac:dyDescent="0.25">
      <c r="A86" s="66"/>
      <c r="B86" s="11" t="s">
        <v>57</v>
      </c>
      <c r="C86" s="48" t="s">
        <v>17</v>
      </c>
      <c r="D86" s="49"/>
      <c r="E86" s="50" t="s">
        <v>20</v>
      </c>
      <c r="F86" s="51" t="s">
        <v>254</v>
      </c>
      <c r="G86" s="23" t="s">
        <v>102</v>
      </c>
      <c r="H86" s="24">
        <v>7</v>
      </c>
      <c r="I86" s="25">
        <v>5</v>
      </c>
      <c r="J86" s="37">
        <f>1+4</f>
        <v>5</v>
      </c>
      <c r="K86" s="26">
        <f>924.88+7565.2</f>
        <v>8490.08</v>
      </c>
      <c r="L86" s="26">
        <f>924.88+7565.2</f>
        <v>8490.08</v>
      </c>
      <c r="M86" s="62">
        <f>K86-L86</f>
        <v>0</v>
      </c>
      <c r="N86" s="40">
        <f>1+2+1+1+2</f>
        <v>7</v>
      </c>
      <c r="O86" s="28">
        <f>19395.81+1387.32+1387.32</f>
        <v>22170.45</v>
      </c>
      <c r="P86" s="28">
        <f>19395.81+1387.32</f>
        <v>20783.13</v>
      </c>
      <c r="Q86" s="27">
        <f>O86-P86</f>
        <v>1387.3199999999997</v>
      </c>
    </row>
    <row r="87" spans="1:17" s="3" customFormat="1" x14ac:dyDescent="0.25">
      <c r="A87" s="66"/>
      <c r="B87" s="11" t="s">
        <v>57</v>
      </c>
      <c r="C87" s="48" t="s">
        <v>17</v>
      </c>
      <c r="D87" s="49"/>
      <c r="E87" s="50" t="s">
        <v>20</v>
      </c>
      <c r="F87" s="22" t="s">
        <v>300</v>
      </c>
      <c r="G87" s="67" t="s">
        <v>104</v>
      </c>
      <c r="H87" s="48"/>
      <c r="I87" s="68"/>
      <c r="J87" s="52"/>
      <c r="K87" s="26"/>
      <c r="L87" s="26"/>
      <c r="M87" s="62">
        <f t="shared" si="5"/>
        <v>0</v>
      </c>
      <c r="N87" s="40"/>
      <c r="O87" s="129"/>
      <c r="P87" s="129"/>
      <c r="Q87" s="69">
        <f t="shared" si="6"/>
        <v>0</v>
      </c>
    </row>
    <row r="88" spans="1:17" s="3" customFormat="1" x14ac:dyDescent="0.25">
      <c r="A88" s="66"/>
      <c r="B88" s="11" t="s">
        <v>58</v>
      </c>
      <c r="C88" s="48" t="s">
        <v>17</v>
      </c>
      <c r="D88" s="49"/>
      <c r="E88" s="50" t="s">
        <v>20</v>
      </c>
      <c r="F88" s="51" t="s">
        <v>255</v>
      </c>
      <c r="G88" s="23" t="s">
        <v>102</v>
      </c>
      <c r="H88" s="24">
        <v>10</v>
      </c>
      <c r="I88" s="25">
        <v>1</v>
      </c>
      <c r="J88" s="37">
        <f>1</f>
        <v>1</v>
      </c>
      <c r="K88" s="26">
        <f>629.6</f>
        <v>629.6</v>
      </c>
      <c r="L88" s="26">
        <f>629.6</f>
        <v>629.6</v>
      </c>
      <c r="M88" s="62">
        <f>K88-L88</f>
        <v>0</v>
      </c>
      <c r="N88" s="40">
        <f>1+2</f>
        <v>3</v>
      </c>
      <c r="O88" s="28">
        <f>1429.36+4472.58</f>
        <v>5901.94</v>
      </c>
      <c r="P88" s="28">
        <f>1429.36</f>
        <v>1429.36</v>
      </c>
      <c r="Q88" s="27">
        <f>O88-P88</f>
        <v>4472.58</v>
      </c>
    </row>
    <row r="89" spans="1:17" s="3" customFormat="1" x14ac:dyDescent="0.25">
      <c r="A89" s="66"/>
      <c r="B89" s="11" t="s">
        <v>58</v>
      </c>
      <c r="C89" s="48" t="s">
        <v>17</v>
      </c>
      <c r="D89" s="49"/>
      <c r="E89" s="50" t="s">
        <v>20</v>
      </c>
      <c r="F89" s="22"/>
      <c r="G89" s="67" t="s">
        <v>104</v>
      </c>
      <c r="H89" s="48"/>
      <c r="I89" s="68"/>
      <c r="J89" s="52"/>
      <c r="K89" s="26"/>
      <c r="L89" s="26"/>
      <c r="M89" s="62">
        <f t="shared" si="5"/>
        <v>0</v>
      </c>
      <c r="N89" s="40"/>
      <c r="O89" s="129"/>
      <c r="P89" s="129"/>
      <c r="Q89" s="69">
        <f t="shared" si="6"/>
        <v>0</v>
      </c>
    </row>
    <row r="90" spans="1:17" s="3" customFormat="1" x14ac:dyDescent="0.25">
      <c r="A90" s="66"/>
      <c r="B90" s="7" t="s">
        <v>59</v>
      </c>
      <c r="C90" s="48" t="s">
        <v>17</v>
      </c>
      <c r="D90" s="49"/>
      <c r="E90" s="50" t="s">
        <v>20</v>
      </c>
      <c r="F90" s="51" t="s">
        <v>193</v>
      </c>
      <c r="G90" s="23" t="s">
        <v>102</v>
      </c>
      <c r="H90" s="24">
        <v>6</v>
      </c>
      <c r="I90" s="25">
        <v>2</v>
      </c>
      <c r="J90" s="37">
        <f>2</f>
        <v>2</v>
      </c>
      <c r="K90" s="26"/>
      <c r="L90" s="26"/>
      <c r="M90" s="62">
        <f>K90-L90</f>
        <v>0</v>
      </c>
      <c r="N90" s="40">
        <f>1+4</f>
        <v>5</v>
      </c>
      <c r="O90" s="26">
        <f>4277.88+14343.4</f>
        <v>18621.28</v>
      </c>
      <c r="P90" s="26">
        <f>4277.88+14343.4</f>
        <v>18621.28</v>
      </c>
      <c r="Q90" s="27">
        <f>O90-P90</f>
        <v>0</v>
      </c>
    </row>
    <row r="91" spans="1:17" s="3" customFormat="1" x14ac:dyDescent="0.25">
      <c r="A91" s="66"/>
      <c r="B91" s="7" t="s">
        <v>59</v>
      </c>
      <c r="C91" s="48" t="s">
        <v>17</v>
      </c>
      <c r="D91" s="49"/>
      <c r="E91" s="50" t="s">
        <v>20</v>
      </c>
      <c r="F91" s="22" t="s">
        <v>301</v>
      </c>
      <c r="G91" s="67" t="s">
        <v>104</v>
      </c>
      <c r="H91" s="48">
        <v>14</v>
      </c>
      <c r="I91" s="68"/>
      <c r="J91" s="52"/>
      <c r="K91" s="26"/>
      <c r="L91" s="26"/>
      <c r="M91" s="62">
        <f t="shared" si="5"/>
        <v>0</v>
      </c>
      <c r="N91" s="40">
        <v>5</v>
      </c>
      <c r="O91" s="129">
        <v>18182.3</v>
      </c>
      <c r="P91" s="129">
        <v>18182.3</v>
      </c>
      <c r="Q91" s="69">
        <f t="shared" si="6"/>
        <v>0</v>
      </c>
    </row>
    <row r="92" spans="1:17" s="3" customFormat="1" x14ac:dyDescent="0.25">
      <c r="A92" s="66"/>
      <c r="B92" s="7" t="s">
        <v>160</v>
      </c>
      <c r="C92" s="48" t="s">
        <v>17</v>
      </c>
      <c r="D92" s="49"/>
      <c r="E92" s="50" t="s">
        <v>20</v>
      </c>
      <c r="F92" s="51" t="s">
        <v>257</v>
      </c>
      <c r="G92" s="67" t="s">
        <v>102</v>
      </c>
      <c r="H92" s="48">
        <v>10</v>
      </c>
      <c r="I92" s="68">
        <v>5</v>
      </c>
      <c r="J92" s="52">
        <f>4+1</f>
        <v>5</v>
      </c>
      <c r="K92" s="26">
        <f>13030.02+1616.44</f>
        <v>14646.460000000001</v>
      </c>
      <c r="L92" s="26">
        <f>13030.02</f>
        <v>13030.02</v>
      </c>
      <c r="M92" s="62">
        <f t="shared" si="5"/>
        <v>1616.4400000000005</v>
      </c>
      <c r="N92" s="40">
        <f>1</f>
        <v>1</v>
      </c>
      <c r="O92" s="129">
        <f>6081.95</f>
        <v>6081.95</v>
      </c>
      <c r="P92" s="129"/>
      <c r="Q92" s="27">
        <f t="shared" si="6"/>
        <v>6081.95</v>
      </c>
    </row>
    <row r="93" spans="1:17" s="4" customFormat="1" x14ac:dyDescent="0.25">
      <c r="A93" s="66"/>
      <c r="B93" s="7" t="s">
        <v>60</v>
      </c>
      <c r="C93" s="48" t="s">
        <v>17</v>
      </c>
      <c r="D93" s="49"/>
      <c r="E93" s="50" t="s">
        <v>20</v>
      </c>
      <c r="F93" s="51"/>
      <c r="G93" s="23" t="s">
        <v>102</v>
      </c>
      <c r="H93" s="24"/>
      <c r="I93" s="25"/>
      <c r="J93" s="37"/>
      <c r="K93" s="26"/>
      <c r="L93" s="26"/>
      <c r="M93" s="62">
        <f t="shared" si="5"/>
        <v>0</v>
      </c>
      <c r="N93" s="40"/>
      <c r="O93" s="28"/>
      <c r="P93" s="28"/>
      <c r="Q93" s="27">
        <f t="shared" si="6"/>
        <v>0</v>
      </c>
    </row>
    <row r="94" spans="1:17" s="4" customFormat="1" x14ac:dyDescent="0.25">
      <c r="A94" s="66"/>
      <c r="B94" s="73" t="s">
        <v>137</v>
      </c>
      <c r="C94" s="48" t="s">
        <v>17</v>
      </c>
      <c r="D94" s="49"/>
      <c r="E94" s="50" t="s">
        <v>35</v>
      </c>
      <c r="F94" s="51" t="s">
        <v>194</v>
      </c>
      <c r="G94" s="67" t="s">
        <v>102</v>
      </c>
      <c r="H94" s="48">
        <v>22</v>
      </c>
      <c r="I94" s="68">
        <v>15</v>
      </c>
      <c r="J94" s="52">
        <f>2+6+5+4</f>
        <v>17</v>
      </c>
      <c r="K94" s="26">
        <f>2724.19+3867.68</f>
        <v>6591.87</v>
      </c>
      <c r="L94" s="26">
        <f>2724.19+3867.68</f>
        <v>6591.87</v>
      </c>
      <c r="M94" s="62">
        <f t="shared" si="5"/>
        <v>0</v>
      </c>
      <c r="N94" s="43">
        <f>1+4+4+1+1</f>
        <v>11</v>
      </c>
      <c r="O94" s="26">
        <f>923.88+10622.58+27580.79+7946.8</f>
        <v>47074.05</v>
      </c>
      <c r="P94" s="26">
        <f>923.88+10622.58</f>
        <v>11546.46</v>
      </c>
      <c r="Q94" s="27">
        <f t="shared" si="6"/>
        <v>35527.590000000004</v>
      </c>
    </row>
    <row r="95" spans="1:17" s="3" customFormat="1" x14ac:dyDescent="0.25">
      <c r="A95" s="66"/>
      <c r="B95" s="11" t="s">
        <v>137</v>
      </c>
      <c r="C95" s="48" t="s">
        <v>17</v>
      </c>
      <c r="D95" s="49"/>
      <c r="E95" s="50" t="s">
        <v>27</v>
      </c>
      <c r="F95" s="22" t="s">
        <v>288</v>
      </c>
      <c r="G95" s="67" t="s">
        <v>107</v>
      </c>
      <c r="H95" s="48">
        <v>3</v>
      </c>
      <c r="I95" s="68">
        <v>2</v>
      </c>
      <c r="J95" s="37">
        <v>2</v>
      </c>
      <c r="K95" s="26">
        <v>2732.6</v>
      </c>
      <c r="L95" s="26">
        <v>2732.6</v>
      </c>
      <c r="M95" s="62">
        <f t="shared" si="5"/>
        <v>0</v>
      </c>
      <c r="N95" s="40">
        <v>2</v>
      </c>
      <c r="O95" s="26">
        <v>8176.78</v>
      </c>
      <c r="P95" s="26">
        <v>2732.6</v>
      </c>
      <c r="Q95" s="27">
        <f>O95-P95</f>
        <v>5444.18</v>
      </c>
    </row>
    <row r="96" spans="1:17" s="3" customFormat="1" x14ac:dyDescent="0.25">
      <c r="A96" s="66"/>
      <c r="B96" s="7" t="s">
        <v>61</v>
      </c>
      <c r="C96" s="48" t="s">
        <v>17</v>
      </c>
      <c r="D96" s="49"/>
      <c r="E96" s="50" t="s">
        <v>35</v>
      </c>
      <c r="F96" s="51" t="s">
        <v>195</v>
      </c>
      <c r="G96" s="23" t="s">
        <v>102</v>
      </c>
      <c r="H96" s="24">
        <v>16</v>
      </c>
      <c r="I96" s="25">
        <v>7</v>
      </c>
      <c r="J96" s="37">
        <f>1+2+3+4</f>
        <v>10</v>
      </c>
      <c r="K96" s="26">
        <f>2665.48+924.88</f>
        <v>3590.36</v>
      </c>
      <c r="L96" s="26">
        <f>2665.48+924.88</f>
        <v>3590.36</v>
      </c>
      <c r="M96" s="62">
        <f>K96-L96</f>
        <v>0</v>
      </c>
      <c r="N96" s="40">
        <f>2+1+1+4+1</f>
        <v>9</v>
      </c>
      <c r="O96" s="28">
        <f>3236.08+2060.78+15765.57+8407.64+7357.97</f>
        <v>36828.04</v>
      </c>
      <c r="P96" s="28">
        <f>3236.08+2060.78+15765.57</f>
        <v>21062.43</v>
      </c>
      <c r="Q96" s="27">
        <f>O96-P96</f>
        <v>15765.61</v>
      </c>
    </row>
    <row r="97" spans="1:17" s="3" customFormat="1" x14ac:dyDescent="0.25">
      <c r="A97" s="66"/>
      <c r="B97" s="7" t="s">
        <v>61</v>
      </c>
      <c r="C97" s="48" t="s">
        <v>17</v>
      </c>
      <c r="D97" s="49"/>
      <c r="E97" s="50" t="s">
        <v>35</v>
      </c>
      <c r="F97" s="22" t="s">
        <v>278</v>
      </c>
      <c r="G97" s="67" t="s">
        <v>107</v>
      </c>
      <c r="H97" s="48"/>
      <c r="I97" s="68"/>
      <c r="J97" s="37"/>
      <c r="K97" s="26"/>
      <c r="L97" s="26"/>
      <c r="M97" s="62">
        <f t="shared" si="5"/>
        <v>0</v>
      </c>
      <c r="N97" s="40"/>
      <c r="O97" s="129"/>
      <c r="P97" s="129"/>
      <c r="Q97" s="69">
        <f t="shared" si="6"/>
        <v>0</v>
      </c>
    </row>
    <row r="98" spans="1:17" s="3" customFormat="1" x14ac:dyDescent="0.25">
      <c r="A98" s="66"/>
      <c r="B98" s="7" t="s">
        <v>130</v>
      </c>
      <c r="C98" s="48" t="s">
        <v>17</v>
      </c>
      <c r="D98" s="49"/>
      <c r="E98" s="50" t="s">
        <v>20</v>
      </c>
      <c r="F98" s="51" t="s">
        <v>196</v>
      </c>
      <c r="G98" s="23" t="s">
        <v>102</v>
      </c>
      <c r="H98" s="24">
        <v>5</v>
      </c>
      <c r="I98" s="29">
        <v>1</v>
      </c>
      <c r="J98" s="37">
        <f>1</f>
        <v>1</v>
      </c>
      <c r="K98" s="26">
        <f>3116.85</f>
        <v>3116.85</v>
      </c>
      <c r="L98" s="26">
        <f>3116.85</f>
        <v>3116.85</v>
      </c>
      <c r="M98" s="62">
        <f>K98-L98</f>
        <v>0</v>
      </c>
      <c r="N98" s="40">
        <f>4+1+2</f>
        <v>7</v>
      </c>
      <c r="O98" s="26">
        <f>5791.8+924.88+315.3</f>
        <v>7031.9800000000005</v>
      </c>
      <c r="P98" s="26">
        <f>5791.8+924.88+315.3</f>
        <v>7031.9800000000005</v>
      </c>
      <c r="Q98" s="27">
        <f>O98-P98</f>
        <v>0</v>
      </c>
    </row>
    <row r="99" spans="1:17" s="3" customFormat="1" x14ac:dyDescent="0.25">
      <c r="A99" s="66"/>
      <c r="B99" s="7" t="s">
        <v>170</v>
      </c>
      <c r="C99" s="48"/>
      <c r="D99" s="49"/>
      <c r="E99" s="50"/>
      <c r="F99" s="22" t="s">
        <v>302</v>
      </c>
      <c r="G99" s="23" t="s">
        <v>104</v>
      </c>
      <c r="H99" s="24"/>
      <c r="I99" s="29"/>
      <c r="J99" s="37"/>
      <c r="K99" s="26"/>
      <c r="L99" s="26"/>
      <c r="M99" s="62">
        <f t="shared" si="5"/>
        <v>0</v>
      </c>
      <c r="N99" s="40">
        <v>6</v>
      </c>
      <c r="O99" s="28">
        <v>9248.7999999999993</v>
      </c>
      <c r="P99" s="28">
        <v>9248.7999999999993</v>
      </c>
      <c r="Q99" s="69">
        <f t="shared" si="6"/>
        <v>0</v>
      </c>
    </row>
    <row r="100" spans="1:17" s="3" customFormat="1" ht="15.75" x14ac:dyDescent="0.25">
      <c r="A100" s="66"/>
      <c r="B100" s="7" t="s">
        <v>130</v>
      </c>
      <c r="C100" s="48" t="s">
        <v>17</v>
      </c>
      <c r="D100" s="49"/>
      <c r="E100" s="50" t="s">
        <v>20</v>
      </c>
      <c r="F100" s="22" t="s">
        <v>303</v>
      </c>
      <c r="G100" s="67" t="s">
        <v>104</v>
      </c>
      <c r="H100" s="1">
        <v>3</v>
      </c>
      <c r="I100" s="68">
        <v>1</v>
      </c>
      <c r="J100" s="52">
        <v>1</v>
      </c>
      <c r="K100" s="26">
        <v>1618.54</v>
      </c>
      <c r="L100" s="26">
        <v>1618.54</v>
      </c>
      <c r="M100" s="62">
        <f t="shared" si="5"/>
        <v>0</v>
      </c>
      <c r="N100" s="40">
        <v>6</v>
      </c>
      <c r="O100" s="129">
        <v>13200.56</v>
      </c>
      <c r="P100" s="129">
        <v>13200.56</v>
      </c>
      <c r="Q100" s="69">
        <f t="shared" si="6"/>
        <v>0</v>
      </c>
    </row>
    <row r="101" spans="1:17" s="3" customFormat="1" x14ac:dyDescent="0.25">
      <c r="A101" s="66"/>
      <c r="B101" s="8" t="s">
        <v>63</v>
      </c>
      <c r="C101" s="48" t="s">
        <v>17</v>
      </c>
      <c r="D101" s="49"/>
      <c r="E101" s="50" t="s">
        <v>21</v>
      </c>
      <c r="F101" s="51" t="s">
        <v>197</v>
      </c>
      <c r="G101" s="23" t="s">
        <v>102</v>
      </c>
      <c r="H101" s="24">
        <v>33</v>
      </c>
      <c r="I101" s="25">
        <v>17</v>
      </c>
      <c r="J101" s="37">
        <f>2+2+2+8+6</f>
        <v>20</v>
      </c>
      <c r="K101" s="26">
        <f>2312.58+2596.29+16649.57+4213.03</f>
        <v>25771.469999999998</v>
      </c>
      <c r="L101" s="26">
        <f>2312.58+2596.29+16649.57+4213.03</f>
        <v>25771.469999999998</v>
      </c>
      <c r="M101" s="62">
        <f>K101-L101</f>
        <v>0</v>
      </c>
      <c r="N101" s="40">
        <f>5+1+2+3+2+2</f>
        <v>15</v>
      </c>
      <c r="O101" s="28">
        <f>24813.5+1272.09+1621.25+2551.42+7176.12+4879.05</f>
        <v>42313.430000000008</v>
      </c>
      <c r="P101" s="28">
        <f>24813.5+1272.09+1621.25+2551.42</f>
        <v>30258.260000000002</v>
      </c>
      <c r="Q101" s="27">
        <f>O101-P101</f>
        <v>12055.170000000006</v>
      </c>
    </row>
    <row r="102" spans="1:17" s="3" customFormat="1" x14ac:dyDescent="0.25">
      <c r="A102" s="66"/>
      <c r="B102" s="8" t="s">
        <v>63</v>
      </c>
      <c r="C102" s="48" t="s">
        <v>17</v>
      </c>
      <c r="D102" s="49"/>
      <c r="E102" s="50" t="s">
        <v>21</v>
      </c>
      <c r="F102" s="22" t="s">
        <v>263</v>
      </c>
      <c r="G102" s="67" t="s">
        <v>108</v>
      </c>
      <c r="H102" s="48">
        <v>3</v>
      </c>
      <c r="I102" s="68"/>
      <c r="J102" s="37"/>
      <c r="K102" s="26"/>
      <c r="L102" s="26"/>
      <c r="M102" s="62">
        <f t="shared" si="5"/>
        <v>0</v>
      </c>
      <c r="N102" s="40">
        <v>3</v>
      </c>
      <c r="O102" s="129">
        <v>6726.4</v>
      </c>
      <c r="P102" s="129">
        <v>5255</v>
      </c>
      <c r="Q102" s="27">
        <f t="shared" si="6"/>
        <v>1471.3999999999996</v>
      </c>
    </row>
    <row r="103" spans="1:17" s="3" customFormat="1" x14ac:dyDescent="0.25">
      <c r="A103" s="66"/>
      <c r="B103" s="11" t="s">
        <v>116</v>
      </c>
      <c r="C103" s="48" t="s">
        <v>17</v>
      </c>
      <c r="D103" s="49"/>
      <c r="E103" s="54" t="s">
        <v>35</v>
      </c>
      <c r="F103" s="51" t="s">
        <v>198</v>
      </c>
      <c r="G103" s="23" t="s">
        <v>102</v>
      </c>
      <c r="H103" s="24">
        <v>21</v>
      </c>
      <c r="I103" s="25">
        <v>10</v>
      </c>
      <c r="J103" s="37">
        <f>2+1+1+2+3+2</f>
        <v>11</v>
      </c>
      <c r="K103" s="26">
        <f>3496.05+420.4+4584.74+924.88+3195.04+313</f>
        <v>12934.11</v>
      </c>
      <c r="L103" s="26">
        <f>3496.05+420.4+4584.74+924.88+3195.04+313</f>
        <v>12934.11</v>
      </c>
      <c r="M103" s="62">
        <f>K103-L103</f>
        <v>0</v>
      </c>
      <c r="N103" s="40">
        <f>5+3+1+1+1+1</f>
        <v>12</v>
      </c>
      <c r="O103" s="26">
        <f>7187.84+3237.08+462.44</f>
        <v>10887.36</v>
      </c>
      <c r="P103" s="26">
        <f>7187.84+3237.08+462.44</f>
        <v>10887.36</v>
      </c>
      <c r="Q103" s="27">
        <f>O103-P103</f>
        <v>0</v>
      </c>
    </row>
    <row r="104" spans="1:17" s="3" customFormat="1" x14ac:dyDescent="0.25">
      <c r="A104" s="66"/>
      <c r="B104" s="11" t="s">
        <v>116</v>
      </c>
      <c r="C104" s="48" t="s">
        <v>17</v>
      </c>
      <c r="D104" s="49"/>
      <c r="E104" s="54" t="s">
        <v>35</v>
      </c>
      <c r="F104" s="22" t="s">
        <v>279</v>
      </c>
      <c r="G104" s="67" t="s">
        <v>107</v>
      </c>
      <c r="H104" s="48">
        <v>5</v>
      </c>
      <c r="I104" s="68">
        <v>2</v>
      </c>
      <c r="J104" s="52">
        <v>2</v>
      </c>
      <c r="K104" s="53">
        <v>2942.8</v>
      </c>
      <c r="L104" s="53"/>
      <c r="M104" s="62">
        <f t="shared" si="5"/>
        <v>2942.8</v>
      </c>
      <c r="N104" s="43">
        <v>4</v>
      </c>
      <c r="O104" s="129">
        <v>5885.6</v>
      </c>
      <c r="P104" s="129">
        <v>4414.2</v>
      </c>
      <c r="Q104" s="27">
        <f t="shared" si="6"/>
        <v>1471.4000000000005</v>
      </c>
    </row>
    <row r="105" spans="1:17" s="3" customFormat="1" x14ac:dyDescent="0.25">
      <c r="A105" s="66"/>
      <c r="B105" s="8" t="s">
        <v>64</v>
      </c>
      <c r="C105" s="48" t="s">
        <v>17</v>
      </c>
      <c r="D105" s="49"/>
      <c r="E105" s="54" t="s">
        <v>21</v>
      </c>
      <c r="F105" s="113" t="s">
        <v>235</v>
      </c>
      <c r="G105" s="23" t="s">
        <v>102</v>
      </c>
      <c r="H105" s="24">
        <v>21</v>
      </c>
      <c r="I105" s="25">
        <v>15</v>
      </c>
      <c r="J105" s="37">
        <f>2+3+2+2+1+3+2+1+2</f>
        <v>18</v>
      </c>
      <c r="K105" s="26">
        <f>1910.72+3963.11+4900.81+2102+3139.85</f>
        <v>16016.49</v>
      </c>
      <c r="L105" s="26">
        <f>1910.72+3963.11+4900.81+2102+3139.85</f>
        <v>16016.49</v>
      </c>
      <c r="M105" s="62">
        <f>K105-L105</f>
        <v>0</v>
      </c>
      <c r="N105" s="40">
        <f>4+2+3+1+2+1</f>
        <v>13</v>
      </c>
      <c r="O105" s="28">
        <f>16393.94+22357.1+6280.03+17930.5+29707.61+3171.33</f>
        <v>95840.51</v>
      </c>
      <c r="P105" s="28">
        <f>16393.94+22357.1+6280.03+17930.5+29707.61</f>
        <v>92669.18</v>
      </c>
      <c r="Q105" s="27">
        <f>O105-P105</f>
        <v>3171.3300000000017</v>
      </c>
    </row>
    <row r="106" spans="1:17" s="3" customFormat="1" x14ac:dyDescent="0.25">
      <c r="A106" s="66"/>
      <c r="B106" s="8" t="s">
        <v>64</v>
      </c>
      <c r="C106" s="48" t="s">
        <v>17</v>
      </c>
      <c r="D106" s="49"/>
      <c r="E106" s="54" t="s">
        <v>21</v>
      </c>
      <c r="F106" s="22" t="s">
        <v>264</v>
      </c>
      <c r="G106" s="67" t="s">
        <v>108</v>
      </c>
      <c r="H106" s="48">
        <v>11</v>
      </c>
      <c r="I106" s="68">
        <v>4</v>
      </c>
      <c r="J106" s="37">
        <v>4</v>
      </c>
      <c r="K106" s="26">
        <v>9395.94</v>
      </c>
      <c r="L106" s="26">
        <v>4531.3599999999997</v>
      </c>
      <c r="M106" s="62">
        <f t="shared" si="5"/>
        <v>4864.5800000000008</v>
      </c>
      <c r="N106" s="40">
        <v>17</v>
      </c>
      <c r="O106" s="129">
        <v>68251.94</v>
      </c>
      <c r="P106" s="129">
        <v>48976.6</v>
      </c>
      <c r="Q106" s="27">
        <f t="shared" si="6"/>
        <v>19275.340000000004</v>
      </c>
    </row>
    <row r="107" spans="1:17" s="3" customFormat="1" x14ac:dyDescent="0.25">
      <c r="A107" s="66"/>
      <c r="B107" s="8" t="s">
        <v>65</v>
      </c>
      <c r="C107" s="48" t="s">
        <v>17</v>
      </c>
      <c r="D107" s="49"/>
      <c r="E107" s="54" t="s">
        <v>32</v>
      </c>
      <c r="F107" s="113" t="s">
        <v>236</v>
      </c>
      <c r="G107" s="23" t="s">
        <v>102</v>
      </c>
      <c r="H107" s="24">
        <v>9</v>
      </c>
      <c r="I107" s="25">
        <v>8</v>
      </c>
      <c r="J107" s="37">
        <f>2+2+2+2</f>
        <v>8</v>
      </c>
      <c r="K107" s="26">
        <f>1345.28+3481.02+1239.76</f>
        <v>6066.06</v>
      </c>
      <c r="L107" s="26">
        <f>1345.28+3481.02+1239.76</f>
        <v>6066.06</v>
      </c>
      <c r="M107" s="62">
        <f>K107-L107</f>
        <v>0</v>
      </c>
      <c r="N107" s="40">
        <f>2+4+1+2+1+1+1</f>
        <v>12</v>
      </c>
      <c r="O107" s="28">
        <f>881.84+5441.03+1816.01+1239.76+1179.22+2875.34+462.44</f>
        <v>13895.64</v>
      </c>
      <c r="P107" s="28">
        <f>881.84+5441.03+1816.01+1239.76</f>
        <v>9378.64</v>
      </c>
      <c r="Q107" s="27">
        <f>O107-P107</f>
        <v>4517</v>
      </c>
    </row>
    <row r="108" spans="1:17" s="3" customFormat="1" x14ac:dyDescent="0.25">
      <c r="A108" s="66"/>
      <c r="B108" s="8" t="s">
        <v>65</v>
      </c>
      <c r="C108" s="48" t="s">
        <v>17</v>
      </c>
      <c r="D108" s="49"/>
      <c r="E108" s="54" t="s">
        <v>32</v>
      </c>
      <c r="F108" s="22" t="s">
        <v>265</v>
      </c>
      <c r="G108" s="72" t="s">
        <v>107</v>
      </c>
      <c r="H108" s="48">
        <v>1</v>
      </c>
      <c r="I108" s="68">
        <v>1</v>
      </c>
      <c r="J108" s="37">
        <v>1</v>
      </c>
      <c r="K108" s="26">
        <v>630.6</v>
      </c>
      <c r="L108" s="26">
        <v>630.6</v>
      </c>
      <c r="M108" s="62">
        <f t="shared" si="5"/>
        <v>0</v>
      </c>
      <c r="N108" s="40">
        <v>1</v>
      </c>
      <c r="O108" s="26">
        <v>1387.32</v>
      </c>
      <c r="P108" s="26">
        <v>1387.32</v>
      </c>
      <c r="Q108" s="27">
        <f t="shared" si="6"/>
        <v>0</v>
      </c>
    </row>
    <row r="109" spans="1:17" s="4" customFormat="1" x14ac:dyDescent="0.25">
      <c r="A109" s="66"/>
      <c r="B109" s="7" t="s">
        <v>66</v>
      </c>
      <c r="C109" s="48" t="s">
        <v>17</v>
      </c>
      <c r="D109" s="49"/>
      <c r="E109" s="50" t="s">
        <v>20</v>
      </c>
      <c r="F109" s="51" t="s">
        <v>199</v>
      </c>
      <c r="G109" s="23" t="s">
        <v>102</v>
      </c>
      <c r="H109" s="24">
        <v>11</v>
      </c>
      <c r="I109" s="25">
        <v>9</v>
      </c>
      <c r="J109" s="37">
        <f>1+3+4+1</f>
        <v>9</v>
      </c>
      <c r="K109" s="26">
        <f>997.05+2781.47+6072.05</f>
        <v>9850.57</v>
      </c>
      <c r="L109" s="26">
        <f>997.05+2781.47+6072.05</f>
        <v>9850.57</v>
      </c>
      <c r="M109" s="62">
        <f t="shared" si="5"/>
        <v>0</v>
      </c>
      <c r="N109" s="40">
        <f>2</f>
        <v>2</v>
      </c>
      <c r="O109" s="26">
        <f>2139.84</f>
        <v>2139.84</v>
      </c>
      <c r="P109" s="26"/>
      <c r="Q109" s="27">
        <f t="shared" si="6"/>
        <v>2139.84</v>
      </c>
    </row>
    <row r="110" spans="1:17" s="4" customFormat="1" x14ac:dyDescent="0.25">
      <c r="A110" s="66"/>
      <c r="B110" s="73" t="s">
        <v>163</v>
      </c>
      <c r="C110" s="48" t="s">
        <v>17</v>
      </c>
      <c r="D110" s="49"/>
      <c r="E110" s="50" t="s">
        <v>20</v>
      </c>
      <c r="F110" s="51" t="s">
        <v>243</v>
      </c>
      <c r="G110" s="23" t="s">
        <v>102</v>
      </c>
      <c r="H110" s="24">
        <v>8</v>
      </c>
      <c r="I110" s="25">
        <v>4</v>
      </c>
      <c r="J110" s="37">
        <f>3+1</f>
        <v>4</v>
      </c>
      <c r="K110" s="26">
        <f>1849.76</f>
        <v>1849.76</v>
      </c>
      <c r="L110" s="26">
        <f>1849.76</f>
        <v>1849.76</v>
      </c>
      <c r="M110" s="62">
        <f t="shared" si="5"/>
        <v>0</v>
      </c>
      <c r="N110" s="40">
        <f>4+1+1</f>
        <v>6</v>
      </c>
      <c r="O110" s="26">
        <f>8490.22+3437.5+5141.78</f>
        <v>17069.5</v>
      </c>
      <c r="P110" s="26">
        <f>8490.22+3437.5</f>
        <v>11927.72</v>
      </c>
      <c r="Q110" s="27">
        <f t="shared" si="6"/>
        <v>5141.7800000000007</v>
      </c>
    </row>
    <row r="111" spans="1:17" s="4" customFormat="1" x14ac:dyDescent="0.25">
      <c r="A111" s="66"/>
      <c r="B111" s="73" t="s">
        <v>163</v>
      </c>
      <c r="C111" s="48" t="s">
        <v>17</v>
      </c>
      <c r="D111" s="49"/>
      <c r="E111" s="50" t="s">
        <v>32</v>
      </c>
      <c r="F111" s="22" t="s">
        <v>289</v>
      </c>
      <c r="G111" s="72" t="s">
        <v>107</v>
      </c>
      <c r="H111" s="24">
        <v>4</v>
      </c>
      <c r="I111" s="25"/>
      <c r="J111" s="37"/>
      <c r="K111" s="26"/>
      <c r="L111" s="26"/>
      <c r="M111" s="62">
        <f t="shared" si="5"/>
        <v>0</v>
      </c>
      <c r="N111" s="40">
        <v>7</v>
      </c>
      <c r="O111" s="26">
        <v>14167.48</v>
      </c>
      <c r="P111" s="26">
        <v>11472.31</v>
      </c>
      <c r="Q111" s="69">
        <f t="shared" si="6"/>
        <v>2695.17</v>
      </c>
    </row>
    <row r="112" spans="1:17" s="3" customFormat="1" x14ac:dyDescent="0.25">
      <c r="A112" s="66"/>
      <c r="B112" s="11" t="s">
        <v>67</v>
      </c>
      <c r="C112" s="48" t="s">
        <v>17</v>
      </c>
      <c r="D112" s="49"/>
      <c r="E112" s="50" t="s">
        <v>20</v>
      </c>
      <c r="F112" s="51" t="s">
        <v>200</v>
      </c>
      <c r="G112" s="23" t="s">
        <v>102</v>
      </c>
      <c r="H112" s="24">
        <v>11</v>
      </c>
      <c r="I112" s="25">
        <v>2</v>
      </c>
      <c r="J112" s="37">
        <f>1+1</f>
        <v>2</v>
      </c>
      <c r="K112" s="26">
        <f>693.66+5318.06+462.44</f>
        <v>6474.16</v>
      </c>
      <c r="L112" s="26">
        <f>693.66+5318.06+462.44</f>
        <v>6474.16</v>
      </c>
      <c r="M112" s="62">
        <f>K112-L112</f>
        <v>0</v>
      </c>
      <c r="N112" s="40">
        <f>2+1+1+1</f>
        <v>5</v>
      </c>
      <c r="O112" s="28">
        <f>1849.76+6423.84+882.84+420.4</f>
        <v>9576.84</v>
      </c>
      <c r="P112" s="28">
        <f>1849.76+6423.84</f>
        <v>8273.6</v>
      </c>
      <c r="Q112" s="27">
        <f>O112-P112</f>
        <v>1303.2399999999998</v>
      </c>
    </row>
    <row r="113" spans="1:17" s="3" customFormat="1" x14ac:dyDescent="0.25">
      <c r="A113" s="66"/>
      <c r="B113" s="11" t="s">
        <v>67</v>
      </c>
      <c r="C113" s="48" t="s">
        <v>17</v>
      </c>
      <c r="D113" s="49"/>
      <c r="E113" s="50" t="s">
        <v>20</v>
      </c>
      <c r="F113" s="22" t="s">
        <v>304</v>
      </c>
      <c r="G113" s="67" t="s">
        <v>104</v>
      </c>
      <c r="H113" s="48">
        <v>22</v>
      </c>
      <c r="I113" s="68">
        <v>3</v>
      </c>
      <c r="J113" s="52">
        <v>2</v>
      </c>
      <c r="K113" s="26">
        <v>3783.6</v>
      </c>
      <c r="L113" s="26">
        <v>3783.6</v>
      </c>
      <c r="M113" s="62">
        <f t="shared" si="5"/>
        <v>0</v>
      </c>
      <c r="N113" s="40">
        <v>28</v>
      </c>
      <c r="O113" s="129">
        <v>60249.8</v>
      </c>
      <c r="P113" s="129">
        <v>60249.8</v>
      </c>
      <c r="Q113" s="69">
        <f t="shared" si="6"/>
        <v>0</v>
      </c>
    </row>
    <row r="114" spans="1:17" s="4" customFormat="1" x14ac:dyDescent="0.25">
      <c r="A114" s="66"/>
      <c r="B114" s="11" t="s">
        <v>68</v>
      </c>
      <c r="C114" s="48" t="s">
        <v>17</v>
      </c>
      <c r="D114" s="49"/>
      <c r="E114" s="50" t="s">
        <v>32</v>
      </c>
      <c r="F114" s="51" t="s">
        <v>244</v>
      </c>
      <c r="G114" s="23" t="s">
        <v>102</v>
      </c>
      <c r="H114" s="24">
        <v>10</v>
      </c>
      <c r="I114" s="25">
        <v>8</v>
      </c>
      <c r="J114" s="37">
        <f>1+1+1+3+5+1</f>
        <v>12</v>
      </c>
      <c r="K114" s="26">
        <f>4225.02+5243.41+6547.48</f>
        <v>16015.91</v>
      </c>
      <c r="L114" s="26">
        <f>4225.02+5243.41+6547.48</f>
        <v>16015.91</v>
      </c>
      <c r="M114" s="62">
        <f>K114-L114</f>
        <v>0</v>
      </c>
      <c r="N114" s="40">
        <f>1+3+1+2+1+1+1</f>
        <v>10</v>
      </c>
      <c r="O114" s="28">
        <f>15253.23+12657.78+14698.58+1144.54+3523.79</f>
        <v>47277.920000000006</v>
      </c>
      <c r="P114" s="28">
        <f>15253.23+12657.78+14698.58+1144.54</f>
        <v>43754.130000000005</v>
      </c>
      <c r="Q114" s="27">
        <f>O114-P114</f>
        <v>3523.7900000000009</v>
      </c>
    </row>
    <row r="115" spans="1:17" s="4" customFormat="1" x14ac:dyDescent="0.25">
      <c r="A115" s="66"/>
      <c r="B115" s="11" t="s">
        <v>68</v>
      </c>
      <c r="C115" s="48" t="s">
        <v>17</v>
      </c>
      <c r="D115" s="49"/>
      <c r="E115" s="50" t="s">
        <v>32</v>
      </c>
      <c r="F115" s="22" t="s">
        <v>280</v>
      </c>
      <c r="G115" s="67" t="s">
        <v>105</v>
      </c>
      <c r="H115" s="48">
        <v>4</v>
      </c>
      <c r="I115" s="68">
        <v>4</v>
      </c>
      <c r="J115" s="37">
        <v>4</v>
      </c>
      <c r="K115" s="74">
        <v>5738.46</v>
      </c>
      <c r="L115" s="74">
        <v>5738.46</v>
      </c>
      <c r="M115" s="62">
        <f t="shared" si="5"/>
        <v>0</v>
      </c>
      <c r="N115" s="43">
        <v>4</v>
      </c>
      <c r="O115" s="26">
        <v>9480.02</v>
      </c>
      <c r="P115" s="26">
        <v>6747.42</v>
      </c>
      <c r="Q115" s="69">
        <f t="shared" si="6"/>
        <v>2732.6000000000004</v>
      </c>
    </row>
    <row r="116" spans="1:17" s="3" customFormat="1" x14ac:dyDescent="0.25">
      <c r="A116" s="66"/>
      <c r="B116" s="11" t="s">
        <v>143</v>
      </c>
      <c r="C116" s="48" t="s">
        <v>17</v>
      </c>
      <c r="D116" s="49"/>
      <c r="E116" s="50" t="s">
        <v>20</v>
      </c>
      <c r="F116" s="51" t="s">
        <v>201</v>
      </c>
      <c r="G116" s="23" t="s">
        <v>102</v>
      </c>
      <c r="H116" s="24">
        <v>2</v>
      </c>
      <c r="I116" s="25"/>
      <c r="J116" s="37"/>
      <c r="K116" s="26"/>
      <c r="L116" s="26"/>
      <c r="M116" s="62">
        <f t="shared" si="5"/>
        <v>0</v>
      </c>
      <c r="N116" s="40">
        <f>4</f>
        <v>4</v>
      </c>
      <c r="O116" s="26">
        <f>9582.76</f>
        <v>9582.76</v>
      </c>
      <c r="P116" s="26">
        <f>9582.76</f>
        <v>9582.76</v>
      </c>
      <c r="Q116" s="27">
        <f t="shared" si="6"/>
        <v>0</v>
      </c>
    </row>
    <row r="117" spans="1:17" s="3" customFormat="1" x14ac:dyDescent="0.25">
      <c r="A117" s="66"/>
      <c r="B117" s="11" t="s">
        <v>335</v>
      </c>
      <c r="C117" s="48"/>
      <c r="D117" s="49"/>
      <c r="E117" s="50"/>
      <c r="F117" s="51"/>
      <c r="G117" s="23" t="s">
        <v>104</v>
      </c>
      <c r="H117" s="24">
        <v>1</v>
      </c>
      <c r="I117" s="25"/>
      <c r="J117" s="37"/>
      <c r="K117" s="26"/>
      <c r="L117" s="26"/>
      <c r="M117" s="62"/>
      <c r="N117" s="40"/>
      <c r="O117" s="26"/>
      <c r="P117" s="26"/>
      <c r="Q117" s="27"/>
    </row>
    <row r="118" spans="1:17" s="4" customFormat="1" x14ac:dyDescent="0.25">
      <c r="A118" s="66"/>
      <c r="B118" s="11" t="s">
        <v>125</v>
      </c>
      <c r="C118" s="48" t="s">
        <v>17</v>
      </c>
      <c r="D118" s="49"/>
      <c r="E118" s="50" t="s">
        <v>35</v>
      </c>
      <c r="F118" s="113" t="s">
        <v>227</v>
      </c>
      <c r="G118" s="23" t="s">
        <v>102</v>
      </c>
      <c r="H118" s="24">
        <v>19</v>
      </c>
      <c r="I118" s="25">
        <v>11</v>
      </c>
      <c r="J118" s="37">
        <f>2+4+3+2+1</f>
        <v>12</v>
      </c>
      <c r="K118" s="26">
        <f>2514.42+2600.38+9241.45+924.88</f>
        <v>15281.13</v>
      </c>
      <c r="L118" s="26">
        <f>12289.57+679.36</f>
        <v>12968.93</v>
      </c>
      <c r="M118" s="62">
        <f t="shared" si="5"/>
        <v>2312.1999999999989</v>
      </c>
      <c r="N118" s="43">
        <f>3+2+4+2+2+1+1</f>
        <v>15</v>
      </c>
      <c r="O118" s="26">
        <f>8799.83+4941.17+9689.19+462.44</f>
        <v>23892.63</v>
      </c>
      <c r="P118" s="26">
        <f>8799.83+4941.17+9689.19+462.44</f>
        <v>23892.63</v>
      </c>
      <c r="Q118" s="27">
        <f t="shared" si="6"/>
        <v>0</v>
      </c>
    </row>
    <row r="119" spans="1:17" s="4" customFormat="1" x14ac:dyDescent="0.25">
      <c r="A119" s="66"/>
      <c r="B119" s="70" t="s">
        <v>125</v>
      </c>
      <c r="C119" s="48" t="s">
        <v>17</v>
      </c>
      <c r="D119" s="49"/>
      <c r="E119" s="50" t="s">
        <v>32</v>
      </c>
      <c r="F119" s="22" t="s">
        <v>283</v>
      </c>
      <c r="G119" s="67" t="s">
        <v>107</v>
      </c>
      <c r="H119" s="48">
        <v>3</v>
      </c>
      <c r="I119" s="68"/>
      <c r="J119" s="37"/>
      <c r="K119" s="26"/>
      <c r="L119" s="26"/>
      <c r="M119" s="62">
        <f t="shared" si="5"/>
        <v>0</v>
      </c>
      <c r="N119" s="40">
        <v>2</v>
      </c>
      <c r="O119" s="26">
        <v>7630.26</v>
      </c>
      <c r="P119" s="26">
        <v>7630.26</v>
      </c>
      <c r="Q119" s="69">
        <f t="shared" si="6"/>
        <v>0</v>
      </c>
    </row>
    <row r="120" spans="1:17" s="3" customFormat="1" x14ac:dyDescent="0.25">
      <c r="A120" s="66"/>
      <c r="B120" s="8" t="s">
        <v>69</v>
      </c>
      <c r="C120" s="48" t="s">
        <v>17</v>
      </c>
      <c r="D120" s="49"/>
      <c r="E120" s="50" t="s">
        <v>21</v>
      </c>
      <c r="F120" s="113" t="s">
        <v>228</v>
      </c>
      <c r="G120" s="23" t="s">
        <v>102</v>
      </c>
      <c r="H120" s="24">
        <v>13</v>
      </c>
      <c r="I120" s="25">
        <v>5</v>
      </c>
      <c r="J120" s="37">
        <f>1+1+4+1</f>
        <v>7</v>
      </c>
      <c r="K120" s="26">
        <f>1406.24+7010.28+1453.74</f>
        <v>9870.26</v>
      </c>
      <c r="L120" s="26">
        <f>1406.24+7010.28+1453.74</f>
        <v>9870.26</v>
      </c>
      <c r="M120" s="62">
        <f>K120-L120</f>
        <v>0</v>
      </c>
      <c r="N120" s="40">
        <f>1+2+1+2+1+3+1+2</f>
        <v>13</v>
      </c>
      <c r="O120" s="28">
        <f>1656.62+3957.14+1040.49+3371.85+1900.21+8632.49+2022.18</f>
        <v>22580.980000000003</v>
      </c>
      <c r="P120" s="28">
        <f>1656.62+3957.14+1040.49+3371.85+1900.21</f>
        <v>11926.310000000001</v>
      </c>
      <c r="Q120" s="27">
        <f>O120-P120</f>
        <v>10654.670000000002</v>
      </c>
    </row>
    <row r="121" spans="1:17" s="3" customFormat="1" x14ac:dyDescent="0.25">
      <c r="A121" s="66"/>
      <c r="B121" s="8" t="s">
        <v>69</v>
      </c>
      <c r="C121" s="48" t="s">
        <v>17</v>
      </c>
      <c r="D121" s="49"/>
      <c r="E121" s="50" t="s">
        <v>21</v>
      </c>
      <c r="F121" s="22" t="s">
        <v>265</v>
      </c>
      <c r="G121" s="67" t="s">
        <v>108</v>
      </c>
      <c r="H121" s="48">
        <v>3</v>
      </c>
      <c r="I121" s="68">
        <v>1</v>
      </c>
      <c r="J121" s="37">
        <v>1</v>
      </c>
      <c r="K121" s="26">
        <v>3005.86</v>
      </c>
      <c r="L121" s="26"/>
      <c r="M121" s="62">
        <f t="shared" si="5"/>
        <v>3005.86</v>
      </c>
      <c r="N121" s="40">
        <v>13</v>
      </c>
      <c r="O121" s="129">
        <v>28377</v>
      </c>
      <c r="P121" s="129">
        <v>26758.46</v>
      </c>
      <c r="Q121" s="69">
        <f t="shared" si="6"/>
        <v>1618.5400000000009</v>
      </c>
    </row>
    <row r="122" spans="1:17" s="4" customFormat="1" x14ac:dyDescent="0.25">
      <c r="A122" s="66"/>
      <c r="B122" s="8" t="s">
        <v>70</v>
      </c>
      <c r="C122" s="48" t="s">
        <v>17</v>
      </c>
      <c r="D122" s="49"/>
      <c r="E122" s="50" t="s">
        <v>71</v>
      </c>
      <c r="F122" s="51" t="s">
        <v>202</v>
      </c>
      <c r="G122" s="23" t="s">
        <v>102</v>
      </c>
      <c r="H122" s="24">
        <v>23</v>
      </c>
      <c r="I122" s="25">
        <v>20</v>
      </c>
      <c r="J122" s="37">
        <f>1+3+7+7+13</f>
        <v>31</v>
      </c>
      <c r="K122" s="26">
        <f>315.3+1866.76+3052.11+6474.45+8395.89+17213.14</f>
        <v>37317.649999999994</v>
      </c>
      <c r="L122" s="26">
        <f>315.3+1866.76+3052.11+6474.45+8395.89+17213.14</f>
        <v>37317.649999999994</v>
      </c>
      <c r="M122" s="62">
        <f>K122-L122</f>
        <v>0</v>
      </c>
      <c r="N122" s="40">
        <f>10+3+1+1</f>
        <v>15</v>
      </c>
      <c r="O122" s="28">
        <f>19741.04+10403.4+2300.27</f>
        <v>32444.710000000003</v>
      </c>
      <c r="P122" s="28">
        <f>19741.04+10403.4</f>
        <v>30144.440000000002</v>
      </c>
      <c r="Q122" s="27">
        <f>O122-P122</f>
        <v>2300.2700000000004</v>
      </c>
    </row>
    <row r="123" spans="1:17" s="4" customFormat="1" x14ac:dyDescent="0.25">
      <c r="A123" s="66"/>
      <c r="B123" s="8" t="s">
        <v>70</v>
      </c>
      <c r="C123" s="48" t="s">
        <v>17</v>
      </c>
      <c r="D123" s="49"/>
      <c r="E123" s="50" t="s">
        <v>71</v>
      </c>
      <c r="F123" s="22"/>
      <c r="G123" s="67" t="s">
        <v>104</v>
      </c>
      <c r="H123" s="48"/>
      <c r="I123" s="68"/>
      <c r="J123" s="52"/>
      <c r="K123" s="26"/>
      <c r="L123" s="26"/>
      <c r="M123" s="62">
        <f t="shared" si="5"/>
        <v>0</v>
      </c>
      <c r="N123" s="40"/>
      <c r="O123" s="129"/>
      <c r="P123" s="129"/>
      <c r="Q123" s="69">
        <f t="shared" si="6"/>
        <v>0</v>
      </c>
    </row>
    <row r="124" spans="1:17" s="3" customFormat="1" x14ac:dyDescent="0.25">
      <c r="A124" s="66"/>
      <c r="B124" s="8" t="s">
        <v>115</v>
      </c>
      <c r="C124" s="48" t="s">
        <v>17</v>
      </c>
      <c r="D124" s="49"/>
      <c r="E124" s="54" t="s">
        <v>35</v>
      </c>
      <c r="F124" s="51" t="s">
        <v>245</v>
      </c>
      <c r="G124" s="23" t="s">
        <v>102</v>
      </c>
      <c r="H124" s="24">
        <v>20</v>
      </c>
      <c r="I124" s="25">
        <v>6</v>
      </c>
      <c r="J124" s="37">
        <f>3+4</f>
        <v>7</v>
      </c>
      <c r="K124" s="26">
        <f>2753.62+2566.5</f>
        <v>5320.12</v>
      </c>
      <c r="L124" s="26">
        <f>2753.62+2566.5</f>
        <v>5320.12</v>
      </c>
      <c r="M124" s="62">
        <f>K124-L124</f>
        <v>0</v>
      </c>
      <c r="N124" s="40">
        <f>5+1</f>
        <v>6</v>
      </c>
      <c r="O124" s="28">
        <f>6497.81+4952.73+3237.08</f>
        <v>14687.62</v>
      </c>
      <c r="P124" s="28">
        <f>6497.81+4952.73</f>
        <v>11450.54</v>
      </c>
      <c r="Q124" s="27">
        <f>O124-P124</f>
        <v>3237.08</v>
      </c>
    </row>
    <row r="125" spans="1:17" s="3" customFormat="1" x14ac:dyDescent="0.25">
      <c r="A125" s="66"/>
      <c r="B125" s="8" t="s">
        <v>115</v>
      </c>
      <c r="C125" s="48" t="s">
        <v>17</v>
      </c>
      <c r="D125" s="49"/>
      <c r="E125" s="54" t="s">
        <v>35</v>
      </c>
      <c r="F125" s="22" t="s">
        <v>281</v>
      </c>
      <c r="G125" s="67" t="s">
        <v>105</v>
      </c>
      <c r="H125" s="48"/>
      <c r="I125" s="68"/>
      <c r="J125" s="37"/>
      <c r="K125" s="26"/>
      <c r="L125" s="26"/>
      <c r="M125" s="62">
        <f t="shared" si="5"/>
        <v>0</v>
      </c>
      <c r="N125" s="40">
        <v>2</v>
      </c>
      <c r="O125" s="129">
        <v>3153</v>
      </c>
      <c r="P125" s="129">
        <v>3153</v>
      </c>
      <c r="Q125" s="27">
        <f t="shared" si="6"/>
        <v>0</v>
      </c>
    </row>
    <row r="126" spans="1:17" s="3" customFormat="1" x14ac:dyDescent="0.25">
      <c r="A126" s="66"/>
      <c r="B126" s="8" t="s">
        <v>120</v>
      </c>
      <c r="C126" s="48" t="s">
        <v>17</v>
      </c>
      <c r="D126" s="49"/>
      <c r="E126" s="54" t="s">
        <v>20</v>
      </c>
      <c r="F126" s="51" t="s">
        <v>203</v>
      </c>
      <c r="G126" s="23" t="s">
        <v>102</v>
      </c>
      <c r="H126" s="24">
        <v>9</v>
      </c>
      <c r="I126" s="29">
        <v>4</v>
      </c>
      <c r="J126" s="37">
        <f>2+2</f>
        <v>4</v>
      </c>
      <c r="K126" s="26">
        <f>2701.07+5051.23</f>
        <v>7752.2999999999993</v>
      </c>
      <c r="L126" s="26">
        <f>2701.07+5051.23</f>
        <v>7752.2999999999993</v>
      </c>
      <c r="M126" s="62">
        <f>K126-L126</f>
        <v>0</v>
      </c>
      <c r="N126" s="40">
        <f>1+1+1+2+1</f>
        <v>6</v>
      </c>
      <c r="O126" s="26">
        <f>4146.67+714.68+4082.16+8876.45</f>
        <v>17819.96</v>
      </c>
      <c r="P126" s="26">
        <f>4146.67+714.68</f>
        <v>4861.3500000000004</v>
      </c>
      <c r="Q126" s="27">
        <f>O126-P126</f>
        <v>12958.609999999999</v>
      </c>
    </row>
    <row r="127" spans="1:17" s="3" customFormat="1" x14ac:dyDescent="0.25">
      <c r="A127" s="66"/>
      <c r="B127" s="122" t="s">
        <v>120</v>
      </c>
      <c r="C127" s="48" t="s">
        <v>17</v>
      </c>
      <c r="D127" s="49"/>
      <c r="E127" s="54" t="s">
        <v>20</v>
      </c>
      <c r="F127" s="22" t="s">
        <v>305</v>
      </c>
      <c r="G127" s="67" t="s">
        <v>104</v>
      </c>
      <c r="H127" s="48">
        <v>4</v>
      </c>
      <c r="I127" s="68">
        <v>2</v>
      </c>
      <c r="J127" s="52">
        <v>2</v>
      </c>
      <c r="K127" s="26">
        <v>2942.8</v>
      </c>
      <c r="L127" s="26">
        <v>2942.8</v>
      </c>
      <c r="M127" s="62">
        <f t="shared" si="5"/>
        <v>0</v>
      </c>
      <c r="N127" s="40">
        <v>2</v>
      </c>
      <c r="O127" s="129">
        <v>9248.7999999999993</v>
      </c>
      <c r="P127" s="129">
        <v>9248.7999999999993</v>
      </c>
      <c r="Q127" s="69">
        <f t="shared" si="6"/>
        <v>0</v>
      </c>
    </row>
    <row r="128" spans="1:17" s="3" customFormat="1" x14ac:dyDescent="0.25">
      <c r="A128" s="66"/>
      <c r="B128" s="11" t="s">
        <v>72</v>
      </c>
      <c r="C128" s="48" t="s">
        <v>17</v>
      </c>
      <c r="D128" s="49"/>
      <c r="E128" s="50" t="s">
        <v>20</v>
      </c>
      <c r="F128" s="51" t="s">
        <v>204</v>
      </c>
      <c r="G128" s="23" t="s">
        <v>102</v>
      </c>
      <c r="H128" s="24">
        <v>12</v>
      </c>
      <c r="I128" s="25">
        <v>5</v>
      </c>
      <c r="J128" s="37">
        <f>1+1+2+2+2</f>
        <v>8</v>
      </c>
      <c r="K128" s="26">
        <f>742.01+1526.05+7931.77+3845.65</f>
        <v>14045.48</v>
      </c>
      <c r="L128" s="26">
        <f>742.01+1526.05+7931.77+3845.65</f>
        <v>14045.48</v>
      </c>
      <c r="M128" s="62">
        <f>K128-L128</f>
        <v>0</v>
      </c>
      <c r="N128" s="40">
        <f>2+4+2+1+1+1</f>
        <v>11</v>
      </c>
      <c r="O128" s="28">
        <f>18833.73+14676.64+2921.78+11915.41+8620.93+17763.11</f>
        <v>74731.600000000006</v>
      </c>
      <c r="P128" s="28">
        <f>18833.73+14676.64+2921.78</f>
        <v>36432.149999999994</v>
      </c>
      <c r="Q128" s="27">
        <f>O128-P128</f>
        <v>38299.450000000012</v>
      </c>
    </row>
    <row r="129" spans="1:19" s="3" customFormat="1" x14ac:dyDescent="0.25">
      <c r="A129" s="66"/>
      <c r="B129" s="11" t="s">
        <v>72</v>
      </c>
      <c r="C129" s="48" t="s">
        <v>17</v>
      </c>
      <c r="D129" s="49"/>
      <c r="E129" s="50" t="s">
        <v>20</v>
      </c>
      <c r="F129" s="22" t="s">
        <v>306</v>
      </c>
      <c r="G129" s="67" t="s">
        <v>104</v>
      </c>
      <c r="H129" s="48">
        <v>6</v>
      </c>
      <c r="I129" s="68"/>
      <c r="J129" s="52"/>
      <c r="K129" s="26"/>
      <c r="L129" s="26"/>
      <c r="M129" s="62">
        <f t="shared" si="5"/>
        <v>0</v>
      </c>
      <c r="N129" s="40">
        <v>3</v>
      </c>
      <c r="O129" s="129">
        <v>12612</v>
      </c>
      <c r="P129" s="129">
        <v>12612</v>
      </c>
      <c r="Q129" s="69">
        <f t="shared" si="6"/>
        <v>0</v>
      </c>
    </row>
    <row r="130" spans="1:19" s="3" customFormat="1" x14ac:dyDescent="0.25">
      <c r="A130" s="66"/>
      <c r="B130" s="8" t="s">
        <v>73</v>
      </c>
      <c r="C130" s="48" t="s">
        <v>17</v>
      </c>
      <c r="D130" s="49"/>
      <c r="E130" s="50" t="s">
        <v>32</v>
      </c>
      <c r="F130" s="113" t="s">
        <v>230</v>
      </c>
      <c r="G130" s="23" t="s">
        <v>102</v>
      </c>
      <c r="H130" s="24">
        <v>9</v>
      </c>
      <c r="I130" s="25">
        <v>4</v>
      </c>
      <c r="J130" s="37">
        <f>2+2+1</f>
        <v>5</v>
      </c>
      <c r="K130" s="26">
        <f>1324.26+3697.42+462.44</f>
        <v>5484.12</v>
      </c>
      <c r="L130" s="26">
        <f>1324.26+3697.42</f>
        <v>5021.68</v>
      </c>
      <c r="M130" s="62">
        <f>K130-L130</f>
        <v>462.4399999999996</v>
      </c>
      <c r="N130" s="40">
        <f>4+3+5+1+1</f>
        <v>14</v>
      </c>
      <c r="O130" s="28">
        <f>6108.55+6420.73+11891.93+6041.84+7797.92</f>
        <v>38260.97</v>
      </c>
      <c r="P130" s="28">
        <f>6108.55+6420.73+11891.93+6041.84</f>
        <v>30463.05</v>
      </c>
      <c r="Q130" s="27">
        <f>O130-P130</f>
        <v>7797.9200000000019</v>
      </c>
    </row>
    <row r="131" spans="1:19" s="3" customFormat="1" x14ac:dyDescent="0.25">
      <c r="A131" s="66"/>
      <c r="B131" s="8" t="s">
        <v>73</v>
      </c>
      <c r="C131" s="48" t="s">
        <v>17</v>
      </c>
      <c r="D131" s="49"/>
      <c r="E131" s="50" t="s">
        <v>32</v>
      </c>
      <c r="F131" s="22" t="s">
        <v>263</v>
      </c>
      <c r="G131" s="67" t="s">
        <v>107</v>
      </c>
      <c r="H131" s="48">
        <v>3</v>
      </c>
      <c r="I131" s="68"/>
      <c r="J131" s="37"/>
      <c r="K131" s="26"/>
      <c r="L131" s="26"/>
      <c r="M131" s="62">
        <f t="shared" si="5"/>
        <v>0</v>
      </c>
      <c r="N131" s="40">
        <v>2</v>
      </c>
      <c r="O131" s="129">
        <v>5465.2</v>
      </c>
      <c r="P131" s="129">
        <v>5465.2</v>
      </c>
      <c r="Q131" s="27">
        <f t="shared" si="6"/>
        <v>0</v>
      </c>
    </row>
    <row r="132" spans="1:19" s="3" customFormat="1" x14ac:dyDescent="0.25">
      <c r="A132" s="66"/>
      <c r="B132" s="8" t="s">
        <v>144</v>
      </c>
      <c r="C132" s="48" t="s">
        <v>17</v>
      </c>
      <c r="D132" s="49"/>
      <c r="E132" s="50" t="s">
        <v>21</v>
      </c>
      <c r="F132" s="113" t="s">
        <v>246</v>
      </c>
      <c r="G132" s="67" t="s">
        <v>102</v>
      </c>
      <c r="H132" s="48">
        <v>4</v>
      </c>
      <c r="I132" s="68">
        <v>1</v>
      </c>
      <c r="J132" s="37">
        <f>1</f>
        <v>1</v>
      </c>
      <c r="K132" s="26">
        <f>630.6</f>
        <v>630.6</v>
      </c>
      <c r="L132" s="26">
        <f>630.6</f>
        <v>630.6</v>
      </c>
      <c r="M132" s="62">
        <f t="shared" si="5"/>
        <v>0</v>
      </c>
      <c r="N132" s="40">
        <f>1+1+1</f>
        <v>3</v>
      </c>
      <c r="O132" s="129">
        <f>1785.7+1261.2+3942.3</f>
        <v>6989.2000000000007</v>
      </c>
      <c r="P132" s="129">
        <f>1785.7+1261.2</f>
        <v>3046.9</v>
      </c>
      <c r="Q132" s="27">
        <f t="shared" si="6"/>
        <v>3942.3000000000006</v>
      </c>
    </row>
    <row r="133" spans="1:19" s="3" customFormat="1" ht="30" x14ac:dyDescent="0.25">
      <c r="A133" s="66"/>
      <c r="B133" s="8" t="s">
        <v>74</v>
      </c>
      <c r="C133" s="48" t="s">
        <v>135</v>
      </c>
      <c r="D133" s="49" t="s">
        <v>146</v>
      </c>
      <c r="E133" s="50" t="s">
        <v>18</v>
      </c>
      <c r="F133" s="116" t="s">
        <v>258</v>
      </c>
      <c r="G133" s="23" t="s">
        <v>102</v>
      </c>
      <c r="H133" s="24">
        <v>11</v>
      </c>
      <c r="I133" s="25">
        <v>9</v>
      </c>
      <c r="J133" s="38">
        <f>1+1+4+5</f>
        <v>11</v>
      </c>
      <c r="K133" s="26">
        <v>35135.040000000001</v>
      </c>
      <c r="L133" s="26">
        <v>35135.040000000001</v>
      </c>
      <c r="M133" s="62">
        <f t="shared" si="5"/>
        <v>0</v>
      </c>
      <c r="N133" s="40">
        <f>1+2+2+2+1</f>
        <v>8</v>
      </c>
      <c r="O133" s="28">
        <f>2610.48+6153.05+5512.08</f>
        <v>14275.61</v>
      </c>
      <c r="P133" s="28">
        <f>2610.48+6153.05</f>
        <v>8763.5300000000007</v>
      </c>
      <c r="Q133" s="27">
        <f t="shared" si="6"/>
        <v>5512.08</v>
      </c>
      <c r="R133" s="45"/>
      <c r="S133" s="45"/>
    </row>
    <row r="134" spans="1:19" s="3" customFormat="1" ht="30" x14ac:dyDescent="0.25">
      <c r="A134" s="66"/>
      <c r="B134" s="8" t="s">
        <v>74</v>
      </c>
      <c r="C134" s="48" t="s">
        <v>135</v>
      </c>
      <c r="D134" s="49" t="s">
        <v>155</v>
      </c>
      <c r="E134" s="50" t="s">
        <v>18</v>
      </c>
      <c r="F134" s="119" t="s">
        <v>272</v>
      </c>
      <c r="G134" s="80" t="s">
        <v>106</v>
      </c>
      <c r="H134" s="48">
        <v>12</v>
      </c>
      <c r="I134" s="71">
        <v>6</v>
      </c>
      <c r="J134" s="38">
        <v>6</v>
      </c>
      <c r="K134" s="129">
        <v>5549</v>
      </c>
      <c r="L134" s="129">
        <v>5549</v>
      </c>
      <c r="M134" s="62">
        <f t="shared" si="5"/>
        <v>0</v>
      </c>
      <c r="N134" s="40">
        <v>11</v>
      </c>
      <c r="O134" s="129">
        <v>24147</v>
      </c>
      <c r="P134" s="129">
        <v>24147</v>
      </c>
      <c r="Q134" s="27">
        <f t="shared" si="6"/>
        <v>0</v>
      </c>
    </row>
    <row r="135" spans="1:19" s="3" customFormat="1" x14ac:dyDescent="0.25">
      <c r="A135" s="66"/>
      <c r="B135" s="11" t="s">
        <v>126</v>
      </c>
      <c r="C135" s="48" t="s">
        <v>17</v>
      </c>
      <c r="D135" s="49"/>
      <c r="E135" s="50" t="s">
        <v>32</v>
      </c>
      <c r="F135" s="113" t="s">
        <v>237</v>
      </c>
      <c r="G135" s="23" t="s">
        <v>102</v>
      </c>
      <c r="H135" s="24">
        <v>45</v>
      </c>
      <c r="I135" s="29">
        <v>36</v>
      </c>
      <c r="J135" s="37">
        <f>10+5+4+6+16</f>
        <v>41</v>
      </c>
      <c r="K135" s="28">
        <f>15204.69+8812.82+3813.61+5844.87</f>
        <v>33675.990000000005</v>
      </c>
      <c r="L135" s="28">
        <f>15204.69+8812.82+3813.61+5844.87</f>
        <v>33675.990000000005</v>
      </c>
      <c r="M135" s="62">
        <f>K135-L135</f>
        <v>0</v>
      </c>
      <c r="N135" s="40">
        <f>20+3+1+2+4+4</f>
        <v>34</v>
      </c>
      <c r="O135" s="28">
        <f>2729.48+11693.63+33879.67+5704.79+3813.61+5079.58</f>
        <v>62900.76</v>
      </c>
      <c r="P135" s="28">
        <f>2729.48+11693.63+33879.67+7535.9</f>
        <v>55838.68</v>
      </c>
      <c r="Q135" s="27">
        <f>O135-P135</f>
        <v>7062.0800000000017</v>
      </c>
    </row>
    <row r="136" spans="1:19" s="3" customFormat="1" x14ac:dyDescent="0.25">
      <c r="A136" s="66"/>
      <c r="B136" s="11" t="s">
        <v>126</v>
      </c>
      <c r="C136" s="48" t="s">
        <v>17</v>
      </c>
      <c r="D136" s="49"/>
      <c r="E136" s="50" t="s">
        <v>32</v>
      </c>
      <c r="F136" s="22" t="s">
        <v>284</v>
      </c>
      <c r="G136" s="67" t="s">
        <v>107</v>
      </c>
      <c r="H136" s="48">
        <v>5</v>
      </c>
      <c r="I136" s="68">
        <v>2</v>
      </c>
      <c r="J136" s="37">
        <v>2</v>
      </c>
      <c r="K136" s="26">
        <v>2942.8</v>
      </c>
      <c r="L136" s="26">
        <v>2942.8</v>
      </c>
      <c r="M136" s="62">
        <f t="shared" si="5"/>
        <v>0</v>
      </c>
      <c r="N136" s="40">
        <v>8</v>
      </c>
      <c r="O136" s="129">
        <v>17887.400000000001</v>
      </c>
      <c r="P136" s="129">
        <v>8197.7999999999993</v>
      </c>
      <c r="Q136" s="27">
        <f t="shared" si="6"/>
        <v>9689.6000000000022</v>
      </c>
    </row>
    <row r="137" spans="1:19" s="3" customFormat="1" x14ac:dyDescent="0.25">
      <c r="A137" s="66"/>
      <c r="B137" s="11" t="s">
        <v>75</v>
      </c>
      <c r="C137" s="48" t="s">
        <v>17</v>
      </c>
      <c r="D137" s="49"/>
      <c r="E137" s="50" t="s">
        <v>76</v>
      </c>
      <c r="F137" s="128" t="s">
        <v>332</v>
      </c>
      <c r="G137" s="23" t="s">
        <v>102</v>
      </c>
      <c r="H137" s="24"/>
      <c r="I137" s="25"/>
      <c r="J137" s="37"/>
      <c r="K137" s="26"/>
      <c r="L137" s="26"/>
      <c r="M137" s="62">
        <f>K137-L137</f>
        <v>0</v>
      </c>
      <c r="N137" s="40">
        <f>1</f>
        <v>1</v>
      </c>
      <c r="O137" s="28">
        <f>7995.59</f>
        <v>7995.59</v>
      </c>
      <c r="P137" s="28">
        <f>7995.59</f>
        <v>7995.59</v>
      </c>
      <c r="Q137" s="27">
        <f>O137-P137</f>
        <v>0</v>
      </c>
    </row>
    <row r="138" spans="1:19" s="3" customFormat="1" x14ac:dyDescent="0.25">
      <c r="A138" s="66"/>
      <c r="B138" s="11" t="s">
        <v>75</v>
      </c>
      <c r="C138" s="48" t="s">
        <v>17</v>
      </c>
      <c r="D138" s="49"/>
      <c r="E138" s="50" t="s">
        <v>76</v>
      </c>
      <c r="F138" s="22" t="s">
        <v>307</v>
      </c>
      <c r="G138" s="67" t="s">
        <v>104</v>
      </c>
      <c r="H138" s="48"/>
      <c r="I138" s="68"/>
      <c r="J138" s="52"/>
      <c r="K138" s="26"/>
      <c r="L138" s="26"/>
      <c r="M138" s="62">
        <f t="shared" si="5"/>
        <v>0</v>
      </c>
      <c r="N138" s="40"/>
      <c r="O138" s="129"/>
      <c r="P138" s="129"/>
      <c r="Q138" s="69">
        <f t="shared" si="6"/>
        <v>0</v>
      </c>
    </row>
    <row r="139" spans="1:19" s="3" customFormat="1" x14ac:dyDescent="0.25">
      <c r="A139" s="66"/>
      <c r="B139" s="8" t="s">
        <v>77</v>
      </c>
      <c r="C139" s="48" t="s">
        <v>17</v>
      </c>
      <c r="D139" s="49"/>
      <c r="E139" s="50" t="s">
        <v>20</v>
      </c>
      <c r="F139" s="51" t="s">
        <v>205</v>
      </c>
      <c r="G139" s="23" t="s">
        <v>102</v>
      </c>
      <c r="H139" s="24">
        <v>8</v>
      </c>
      <c r="I139" s="25">
        <v>7</v>
      </c>
      <c r="J139" s="37">
        <f>3+1+3+2</f>
        <v>9</v>
      </c>
      <c r="K139" s="26">
        <f>2711.58+2323.76+4723.09+13895.36</f>
        <v>23653.79</v>
      </c>
      <c r="L139" s="26">
        <f>2711.58+2323.76+4723.09+13895.36</f>
        <v>23653.79</v>
      </c>
      <c r="M139" s="62">
        <f>K139-L139</f>
        <v>0</v>
      </c>
      <c r="N139" s="40">
        <f>3+1+2+2</f>
        <v>8</v>
      </c>
      <c r="O139" s="26">
        <f>12560.94+2921.78</f>
        <v>15482.720000000001</v>
      </c>
      <c r="P139" s="26">
        <f>12560.94+2921.78</f>
        <v>15482.720000000001</v>
      </c>
      <c r="Q139" s="27">
        <f>O139-P139</f>
        <v>0</v>
      </c>
    </row>
    <row r="140" spans="1:19" s="3" customFormat="1" x14ac:dyDescent="0.25">
      <c r="A140" s="66"/>
      <c r="B140" s="8" t="s">
        <v>77</v>
      </c>
      <c r="C140" s="48" t="s">
        <v>17</v>
      </c>
      <c r="D140" s="49"/>
      <c r="E140" s="50" t="s">
        <v>20</v>
      </c>
      <c r="F140" s="22" t="s">
        <v>308</v>
      </c>
      <c r="G140" s="67" t="s">
        <v>104</v>
      </c>
      <c r="H140" s="48">
        <v>14</v>
      </c>
      <c r="I140" s="68">
        <v>2</v>
      </c>
      <c r="J140" s="52">
        <v>2</v>
      </c>
      <c r="K140" s="26">
        <v>2522.4</v>
      </c>
      <c r="L140" s="26">
        <v>2522.4</v>
      </c>
      <c r="M140" s="62">
        <f t="shared" si="5"/>
        <v>0</v>
      </c>
      <c r="N140" s="40">
        <v>7</v>
      </c>
      <c r="O140" s="129">
        <v>29175.759999999998</v>
      </c>
      <c r="P140" s="129">
        <v>29175.759999999998</v>
      </c>
      <c r="Q140" s="69">
        <f t="shared" si="6"/>
        <v>0</v>
      </c>
    </row>
    <row r="141" spans="1:19" s="3" customFormat="1" x14ac:dyDescent="0.25">
      <c r="A141" s="66"/>
      <c r="B141" s="8" t="s">
        <v>138</v>
      </c>
      <c r="C141" s="48" t="s">
        <v>17</v>
      </c>
      <c r="D141" s="49"/>
      <c r="E141" s="50" t="s">
        <v>20</v>
      </c>
      <c r="F141" s="51" t="s">
        <v>206</v>
      </c>
      <c r="G141" s="67" t="s">
        <v>102</v>
      </c>
      <c r="H141" s="48">
        <v>9</v>
      </c>
      <c r="I141" s="68">
        <v>5</v>
      </c>
      <c r="J141" s="52">
        <f>1+3+1+1</f>
        <v>6</v>
      </c>
      <c r="K141" s="26">
        <f>420.4+4225.76</f>
        <v>4646.16</v>
      </c>
      <c r="L141" s="26">
        <f>420.4+4225.76</f>
        <v>4646.16</v>
      </c>
      <c r="M141" s="62">
        <f t="shared" ref="M141:M143" si="7">K141-L141</f>
        <v>0</v>
      </c>
      <c r="N141" s="40">
        <f>2+1+1+1</f>
        <v>5</v>
      </c>
      <c r="O141" s="129">
        <f>4757.09+4149.82+11703.71</f>
        <v>20610.62</v>
      </c>
      <c r="P141" s="129">
        <f>4757.09+4149.82</f>
        <v>8906.91</v>
      </c>
      <c r="Q141" s="27">
        <f t="shared" si="6"/>
        <v>11703.71</v>
      </c>
    </row>
    <row r="142" spans="1:19" s="3" customFormat="1" x14ac:dyDescent="0.25">
      <c r="A142" s="66"/>
      <c r="B142" s="8" t="s">
        <v>127</v>
      </c>
      <c r="C142" s="48" t="s">
        <v>17</v>
      </c>
      <c r="D142" s="49"/>
      <c r="E142" s="50" t="s">
        <v>35</v>
      </c>
      <c r="F142" s="113" t="s">
        <v>329</v>
      </c>
      <c r="G142" s="23" t="s">
        <v>102</v>
      </c>
      <c r="H142" s="24"/>
      <c r="I142" s="25"/>
      <c r="J142" s="37"/>
      <c r="K142" s="26"/>
      <c r="L142" s="26"/>
      <c r="M142" s="62">
        <f t="shared" si="7"/>
        <v>0</v>
      </c>
      <c r="N142" s="40">
        <f>1</f>
        <v>1</v>
      </c>
      <c r="O142" s="28">
        <f>1649.64</f>
        <v>1649.64</v>
      </c>
      <c r="P142" s="28">
        <f>1649.64</f>
        <v>1649.64</v>
      </c>
      <c r="Q142" s="27">
        <f t="shared" si="6"/>
        <v>0</v>
      </c>
    </row>
    <row r="143" spans="1:19" s="3" customFormat="1" x14ac:dyDescent="0.25">
      <c r="A143" s="66"/>
      <c r="B143" s="8" t="s">
        <v>78</v>
      </c>
      <c r="C143" s="48" t="s">
        <v>17</v>
      </c>
      <c r="D143" s="49"/>
      <c r="E143" s="50" t="s">
        <v>20</v>
      </c>
      <c r="F143" s="51" t="s">
        <v>207</v>
      </c>
      <c r="G143" s="23" t="s">
        <v>102</v>
      </c>
      <c r="H143" s="24">
        <v>12</v>
      </c>
      <c r="I143" s="25">
        <v>7</v>
      </c>
      <c r="J143" s="37">
        <f>1+2+4+3</f>
        <v>10</v>
      </c>
      <c r="K143" s="26">
        <f>826.09+1734.15+6015.35</f>
        <v>8575.59</v>
      </c>
      <c r="L143" s="26">
        <f>826.09+1735.15</f>
        <v>2561.2400000000002</v>
      </c>
      <c r="M143" s="62">
        <f t="shared" si="7"/>
        <v>6014.35</v>
      </c>
      <c r="N143" s="40">
        <f>3+1+2</f>
        <v>6</v>
      </c>
      <c r="O143" s="26">
        <f>3418.53+2486.42+4338.5</f>
        <v>10243.450000000001</v>
      </c>
      <c r="P143" s="26">
        <f>3418.53+2486.42+4338.5</f>
        <v>10243.450000000001</v>
      </c>
      <c r="Q143" s="27">
        <f t="shared" si="6"/>
        <v>0</v>
      </c>
    </row>
    <row r="144" spans="1:19" s="3" customFormat="1" x14ac:dyDescent="0.25">
      <c r="A144" s="66"/>
      <c r="B144" s="8" t="s">
        <v>78</v>
      </c>
      <c r="C144" s="48" t="s">
        <v>17</v>
      </c>
      <c r="D144" s="49"/>
      <c r="E144" s="50" t="s">
        <v>20</v>
      </c>
      <c r="F144" s="22" t="s">
        <v>309</v>
      </c>
      <c r="G144" s="67" t="s">
        <v>104</v>
      </c>
      <c r="H144" s="48">
        <v>7</v>
      </c>
      <c r="I144" s="68">
        <v>4</v>
      </c>
      <c r="J144" s="52">
        <v>4</v>
      </c>
      <c r="K144" s="26">
        <v>8408</v>
      </c>
      <c r="L144" s="26">
        <v>8408</v>
      </c>
      <c r="M144" s="62">
        <f t="shared" ref="M144:M199" si="8">K144-L144</f>
        <v>0</v>
      </c>
      <c r="N144" s="40">
        <v>24</v>
      </c>
      <c r="O144" s="129">
        <v>109131.8</v>
      </c>
      <c r="P144" s="129">
        <v>109131.8</v>
      </c>
      <c r="Q144" s="69">
        <f t="shared" si="6"/>
        <v>0</v>
      </c>
    </row>
    <row r="145" spans="1:17" s="3" customFormat="1" ht="45" x14ac:dyDescent="0.25">
      <c r="A145" s="66"/>
      <c r="B145" s="8" t="s">
        <v>79</v>
      </c>
      <c r="C145" s="48" t="s">
        <v>135</v>
      </c>
      <c r="D145" s="49" t="s">
        <v>149</v>
      </c>
      <c r="E145" s="50" t="s">
        <v>20</v>
      </c>
      <c r="F145" s="116" t="s">
        <v>259</v>
      </c>
      <c r="G145" s="23" t="s">
        <v>102</v>
      </c>
      <c r="H145" s="24">
        <v>6</v>
      </c>
      <c r="I145" s="25"/>
      <c r="J145" s="38"/>
      <c r="K145" s="26"/>
      <c r="L145" s="26"/>
      <c r="M145" s="62">
        <f t="shared" si="8"/>
        <v>0</v>
      </c>
      <c r="N145" s="40"/>
      <c r="O145" s="28"/>
      <c r="P145" s="28"/>
      <c r="Q145" s="27">
        <f t="shared" si="6"/>
        <v>0</v>
      </c>
    </row>
    <row r="146" spans="1:17" s="3" customFormat="1" x14ac:dyDescent="0.25">
      <c r="A146" s="66"/>
      <c r="B146" s="8" t="s">
        <v>333</v>
      </c>
      <c r="C146" s="48"/>
      <c r="D146" s="49"/>
      <c r="E146" s="50"/>
      <c r="F146" s="116"/>
      <c r="G146" s="23" t="s">
        <v>102</v>
      </c>
      <c r="H146" s="24"/>
      <c r="I146" s="25"/>
      <c r="J146" s="38"/>
      <c r="K146" s="26"/>
      <c r="L146" s="26"/>
      <c r="M146" s="62"/>
      <c r="N146" s="40"/>
      <c r="O146" s="28">
        <f>12225.91</f>
        <v>12225.91</v>
      </c>
      <c r="P146" s="28">
        <f>12225.91</f>
        <v>12225.91</v>
      </c>
      <c r="Q146" s="27">
        <f t="shared" si="6"/>
        <v>0</v>
      </c>
    </row>
    <row r="147" spans="1:17" s="3" customFormat="1" x14ac:dyDescent="0.25">
      <c r="A147" s="66"/>
      <c r="B147" s="7" t="s">
        <v>80</v>
      </c>
      <c r="C147" s="48" t="s">
        <v>17</v>
      </c>
      <c r="D147" s="49"/>
      <c r="E147" s="54" t="s">
        <v>20</v>
      </c>
      <c r="F147" s="51" t="s">
        <v>208</v>
      </c>
      <c r="G147" s="23" t="s">
        <v>102</v>
      </c>
      <c r="H147" s="24">
        <v>22</v>
      </c>
      <c r="I147" s="25">
        <v>15</v>
      </c>
      <c r="J147" s="37">
        <f>4+3+9+8</f>
        <v>24</v>
      </c>
      <c r="K147" s="26">
        <f>4135.05+4300.75+23150.22</f>
        <v>31586.02</v>
      </c>
      <c r="L147" s="26">
        <f>4135.05+4300.75+23150.22</f>
        <v>31586.02</v>
      </c>
      <c r="M147" s="62">
        <f t="shared" si="8"/>
        <v>0</v>
      </c>
      <c r="N147" s="40">
        <f>5+3+3</f>
        <v>11</v>
      </c>
      <c r="O147" s="28">
        <f>6754.23+1171.87+6917.33+10772.28</f>
        <v>25615.71</v>
      </c>
      <c r="P147" s="28">
        <f>6754.23+1171.87+6917.33</f>
        <v>14843.43</v>
      </c>
      <c r="Q147" s="27">
        <f t="shared" si="6"/>
        <v>10772.279999999999</v>
      </c>
    </row>
    <row r="148" spans="1:17" s="3" customFormat="1" x14ac:dyDescent="0.25">
      <c r="A148" s="66"/>
      <c r="B148" s="7" t="s">
        <v>80</v>
      </c>
      <c r="C148" s="48" t="s">
        <v>17</v>
      </c>
      <c r="D148" s="49"/>
      <c r="E148" s="54" t="s">
        <v>20</v>
      </c>
      <c r="F148" s="22" t="s">
        <v>313</v>
      </c>
      <c r="G148" s="67" t="s">
        <v>104</v>
      </c>
      <c r="H148" s="48">
        <v>4</v>
      </c>
      <c r="I148" s="68"/>
      <c r="J148" s="52"/>
      <c r="K148" s="26"/>
      <c r="L148" s="26"/>
      <c r="M148" s="62">
        <f t="shared" si="8"/>
        <v>0</v>
      </c>
      <c r="N148" s="40">
        <v>4</v>
      </c>
      <c r="O148" s="129">
        <v>10930.4</v>
      </c>
      <c r="P148" s="129">
        <v>10930.4</v>
      </c>
      <c r="Q148" s="69">
        <f t="shared" si="6"/>
        <v>0</v>
      </c>
    </row>
    <row r="149" spans="1:17" s="3" customFormat="1" x14ac:dyDescent="0.25">
      <c r="A149" s="66"/>
      <c r="B149" s="7" t="s">
        <v>81</v>
      </c>
      <c r="C149" s="48" t="s">
        <v>17</v>
      </c>
      <c r="D149" s="49"/>
      <c r="E149" s="54" t="s">
        <v>20</v>
      </c>
      <c r="F149" s="51" t="s">
        <v>209</v>
      </c>
      <c r="G149" s="85" t="s">
        <v>102</v>
      </c>
      <c r="H149" s="48">
        <v>9</v>
      </c>
      <c r="I149" s="68">
        <v>5</v>
      </c>
      <c r="J149" s="52">
        <f>2+3</f>
        <v>5</v>
      </c>
      <c r="K149" s="26">
        <f>2322.76+3066.29+5106.15</f>
        <v>10495.2</v>
      </c>
      <c r="L149" s="26">
        <f>2322.76+3066.29</f>
        <v>5389.05</v>
      </c>
      <c r="M149" s="62">
        <f t="shared" si="8"/>
        <v>5106.1500000000005</v>
      </c>
      <c r="N149" s="40">
        <f>1</f>
        <v>1</v>
      </c>
      <c r="O149" s="129"/>
      <c r="P149" s="129"/>
      <c r="Q149" s="27">
        <f t="shared" si="6"/>
        <v>0</v>
      </c>
    </row>
    <row r="150" spans="1:17" s="3" customFormat="1" ht="14.25" customHeight="1" x14ac:dyDescent="0.25">
      <c r="A150" s="66"/>
      <c r="B150" s="11" t="s">
        <v>139</v>
      </c>
      <c r="C150" s="48" t="s">
        <v>17</v>
      </c>
      <c r="D150" s="49"/>
      <c r="E150" s="54" t="s">
        <v>20</v>
      </c>
      <c r="F150" s="51" t="s">
        <v>325</v>
      </c>
      <c r="G150" s="23" t="s">
        <v>102</v>
      </c>
      <c r="H150" s="24"/>
      <c r="I150" s="25"/>
      <c r="J150" s="37"/>
      <c r="K150" s="26"/>
      <c r="L150" s="26"/>
      <c r="M150" s="62">
        <f t="shared" si="8"/>
        <v>0</v>
      </c>
      <c r="N150" s="40">
        <f>3</f>
        <v>3</v>
      </c>
      <c r="O150" s="28">
        <f>3236.08</f>
        <v>3236.08</v>
      </c>
      <c r="P150" s="28">
        <f>3236.08</f>
        <v>3236.08</v>
      </c>
      <c r="Q150" s="27">
        <f t="shared" si="6"/>
        <v>0</v>
      </c>
    </row>
    <row r="151" spans="1:17" s="3" customFormat="1" x14ac:dyDescent="0.25">
      <c r="A151" s="66"/>
      <c r="B151" s="11" t="s">
        <v>139</v>
      </c>
      <c r="C151" s="48"/>
      <c r="D151" s="49"/>
      <c r="E151" s="54"/>
      <c r="F151" s="22" t="s">
        <v>310</v>
      </c>
      <c r="G151" s="23" t="s">
        <v>104</v>
      </c>
      <c r="H151" s="24"/>
      <c r="I151" s="25"/>
      <c r="J151" s="37"/>
      <c r="K151" s="26"/>
      <c r="L151" s="26"/>
      <c r="M151" s="62">
        <f t="shared" si="8"/>
        <v>0</v>
      </c>
      <c r="N151" s="40"/>
      <c r="O151" s="28"/>
      <c r="P151" s="28"/>
      <c r="Q151" s="69"/>
    </row>
    <row r="152" spans="1:17" s="3" customFormat="1" x14ac:dyDescent="0.25">
      <c r="A152" s="66"/>
      <c r="B152" s="11" t="s">
        <v>161</v>
      </c>
      <c r="C152" s="48" t="s">
        <v>17</v>
      </c>
      <c r="D152" s="49"/>
      <c r="E152" s="54" t="s">
        <v>20</v>
      </c>
      <c r="F152" s="51" t="s">
        <v>260</v>
      </c>
      <c r="G152" s="23" t="s">
        <v>102</v>
      </c>
      <c r="H152" s="24">
        <v>10</v>
      </c>
      <c r="I152" s="25">
        <v>6</v>
      </c>
      <c r="J152" s="37">
        <f>2+1+4</f>
        <v>7</v>
      </c>
      <c r="K152" s="26">
        <f>1671.09+2260.39+7052.21</f>
        <v>10983.689999999999</v>
      </c>
      <c r="L152" s="26">
        <f>1671.09+2260.39+7052.21</f>
        <v>10983.689999999999</v>
      </c>
      <c r="M152" s="62">
        <f>K152-L152</f>
        <v>0</v>
      </c>
      <c r="N152" s="40">
        <f>1+1+2</f>
        <v>4</v>
      </c>
      <c r="O152" s="28">
        <f>419.4+1831.26+1849.76</f>
        <v>4100.42</v>
      </c>
      <c r="P152" s="28">
        <f>419.4+1831.26</f>
        <v>2250.66</v>
      </c>
      <c r="Q152" s="27">
        <f>O152-P152</f>
        <v>1849.7600000000002</v>
      </c>
    </row>
    <row r="153" spans="1:17" s="3" customFormat="1" x14ac:dyDescent="0.25">
      <c r="A153" s="66"/>
      <c r="B153" s="11" t="s">
        <v>161</v>
      </c>
      <c r="C153" s="48" t="s">
        <v>17</v>
      </c>
      <c r="D153" s="49"/>
      <c r="E153" s="54" t="s">
        <v>20</v>
      </c>
      <c r="F153" s="22" t="s">
        <v>311</v>
      </c>
      <c r="G153" s="23" t="s">
        <v>104</v>
      </c>
      <c r="H153" s="24">
        <v>38</v>
      </c>
      <c r="I153" s="25">
        <v>4</v>
      </c>
      <c r="J153" s="37">
        <v>4</v>
      </c>
      <c r="K153" s="26">
        <v>18910.439999999999</v>
      </c>
      <c r="L153" s="26">
        <v>18910.439999999999</v>
      </c>
      <c r="M153" s="62">
        <f t="shared" si="8"/>
        <v>0</v>
      </c>
      <c r="N153" s="40">
        <v>22</v>
      </c>
      <c r="O153" s="28">
        <v>70217.31</v>
      </c>
      <c r="P153" s="28">
        <v>70217.31</v>
      </c>
      <c r="Q153" s="69">
        <f t="shared" ref="Q153:Q200" si="9">O153-P153</f>
        <v>0</v>
      </c>
    </row>
    <row r="154" spans="1:17" s="3" customFormat="1" x14ac:dyDescent="0.25">
      <c r="A154" s="66"/>
      <c r="B154" s="11" t="s">
        <v>168</v>
      </c>
      <c r="C154" s="48" t="s">
        <v>17</v>
      </c>
      <c r="D154" s="49"/>
      <c r="E154" s="54"/>
      <c r="F154" s="51" t="s">
        <v>210</v>
      </c>
      <c r="G154" s="23" t="s">
        <v>102</v>
      </c>
      <c r="H154" s="24">
        <v>22</v>
      </c>
      <c r="I154" s="25">
        <v>10</v>
      </c>
      <c r="J154" s="37">
        <f>1+2+2+2+2+2+7</f>
        <v>18</v>
      </c>
      <c r="K154" s="26">
        <f>3300.88+4222.91+2208.99+5422.91+4335.38</f>
        <v>19491.07</v>
      </c>
      <c r="L154" s="26">
        <f>3300.88+4222.91+2208.99+5422.91+4335.38</f>
        <v>19491.07</v>
      </c>
      <c r="M154" s="62">
        <f>K154-L154</f>
        <v>0</v>
      </c>
      <c r="N154" s="40">
        <f>2+2+1+2</f>
        <v>7</v>
      </c>
      <c r="O154" s="26">
        <f>7005.96+6814.52+5087.72</f>
        <v>18908.2</v>
      </c>
      <c r="P154" s="26">
        <f>7005.96+6814.52+5087.72</f>
        <v>18908.2</v>
      </c>
      <c r="Q154" s="27">
        <f>O154-P154</f>
        <v>0</v>
      </c>
    </row>
    <row r="155" spans="1:17" s="3" customFormat="1" x14ac:dyDescent="0.25">
      <c r="A155" s="66"/>
      <c r="B155" s="11" t="s">
        <v>168</v>
      </c>
      <c r="C155" s="48" t="s">
        <v>17</v>
      </c>
      <c r="D155" s="49"/>
      <c r="E155" s="54"/>
      <c r="F155" s="22" t="s">
        <v>326</v>
      </c>
      <c r="G155" s="23" t="s">
        <v>106</v>
      </c>
      <c r="H155" s="24">
        <v>2</v>
      </c>
      <c r="I155" s="25"/>
      <c r="J155" s="37"/>
      <c r="K155" s="26"/>
      <c r="L155" s="26"/>
      <c r="M155" s="62">
        <f t="shared" si="8"/>
        <v>0</v>
      </c>
      <c r="N155" s="40">
        <v>1</v>
      </c>
      <c r="O155" s="28">
        <v>1156</v>
      </c>
      <c r="P155" s="28">
        <v>1156</v>
      </c>
      <c r="Q155" s="27">
        <f t="shared" ref="Q155" si="10">O155-P155</f>
        <v>0</v>
      </c>
    </row>
    <row r="156" spans="1:17" s="3" customFormat="1" x14ac:dyDescent="0.25">
      <c r="A156" s="66"/>
      <c r="B156" s="8" t="s">
        <v>82</v>
      </c>
      <c r="C156" s="48" t="s">
        <v>17</v>
      </c>
      <c r="D156" s="49"/>
      <c r="E156" s="50" t="s">
        <v>83</v>
      </c>
      <c r="F156" s="113" t="s">
        <v>231</v>
      </c>
      <c r="G156" s="23" t="s">
        <v>102</v>
      </c>
      <c r="H156" s="24">
        <v>20</v>
      </c>
      <c r="I156" s="25">
        <v>20</v>
      </c>
      <c r="J156" s="37">
        <f>3+2+1+12+2+3</f>
        <v>23</v>
      </c>
      <c r="K156" s="26">
        <f>3937.22+1189.28+3258.1+1144.54+2724.82+20980.97+4883.15</f>
        <v>38118.080000000002</v>
      </c>
      <c r="L156" s="26">
        <f>3937.22+1189.28+3258.1+1144.54+2724.82+20980.97+4883.15</f>
        <v>38118.080000000002</v>
      </c>
      <c r="M156" s="62">
        <f>K156-L156</f>
        <v>0</v>
      </c>
      <c r="N156" s="40">
        <f>8+4+4+2+2+1</f>
        <v>21</v>
      </c>
      <c r="O156" s="28">
        <f>13624.92+6402.48+9927.96+4663.02+3906.04</f>
        <v>38524.420000000006</v>
      </c>
      <c r="P156" s="28">
        <f>13624.92+6402.48+8694.75</f>
        <v>28722.15</v>
      </c>
      <c r="Q156" s="27">
        <f>O156-P156</f>
        <v>9802.2700000000041</v>
      </c>
    </row>
    <row r="157" spans="1:17" s="3" customFormat="1" x14ac:dyDescent="0.25">
      <c r="A157" s="66"/>
      <c r="B157" s="8" t="s">
        <v>82</v>
      </c>
      <c r="C157" s="48" t="s">
        <v>17</v>
      </c>
      <c r="D157" s="49"/>
      <c r="E157" s="50" t="s">
        <v>83</v>
      </c>
      <c r="F157" s="22" t="s">
        <v>266</v>
      </c>
      <c r="G157" s="67" t="s">
        <v>108</v>
      </c>
      <c r="H157" s="48">
        <v>6</v>
      </c>
      <c r="I157" s="68">
        <v>2</v>
      </c>
      <c r="J157" s="37">
        <v>2</v>
      </c>
      <c r="K157" s="26">
        <v>5738.46</v>
      </c>
      <c r="L157" s="26">
        <v>2732.6</v>
      </c>
      <c r="M157" s="62">
        <f t="shared" si="8"/>
        <v>3005.86</v>
      </c>
      <c r="N157" s="40">
        <v>3</v>
      </c>
      <c r="O157" s="129">
        <v>5528.26</v>
      </c>
      <c r="P157" s="129">
        <v>5528.26</v>
      </c>
      <c r="Q157" s="69">
        <f t="shared" si="9"/>
        <v>0</v>
      </c>
    </row>
    <row r="158" spans="1:17" s="3" customFormat="1" x14ac:dyDescent="0.25">
      <c r="A158" s="66"/>
      <c r="B158" s="8" t="s">
        <v>82</v>
      </c>
      <c r="C158" s="48" t="s">
        <v>17</v>
      </c>
      <c r="D158" s="49"/>
      <c r="E158" s="54" t="s">
        <v>164</v>
      </c>
      <c r="F158" s="22" t="s">
        <v>312</v>
      </c>
      <c r="G158" s="67" t="s">
        <v>104</v>
      </c>
      <c r="H158" s="48"/>
      <c r="I158" s="68"/>
      <c r="J158" s="37"/>
      <c r="K158" s="26"/>
      <c r="L158" s="26"/>
      <c r="M158" s="62">
        <f t="shared" si="8"/>
        <v>0</v>
      </c>
      <c r="N158" s="40">
        <v>3</v>
      </c>
      <c r="O158" s="129">
        <v>10181.299999999999</v>
      </c>
      <c r="P158" s="129">
        <v>10181.299999999999</v>
      </c>
      <c r="Q158" s="69">
        <f t="shared" si="9"/>
        <v>0</v>
      </c>
    </row>
    <row r="159" spans="1:17" s="3" customFormat="1" x14ac:dyDescent="0.25">
      <c r="A159" s="66"/>
      <c r="B159" s="8" t="s">
        <v>84</v>
      </c>
      <c r="C159" s="48" t="s">
        <v>17</v>
      </c>
      <c r="D159" s="49"/>
      <c r="E159" s="54" t="s">
        <v>20</v>
      </c>
      <c r="F159" s="51" t="s">
        <v>211</v>
      </c>
      <c r="G159" s="23" t="s">
        <v>102</v>
      </c>
      <c r="H159" s="24">
        <v>8</v>
      </c>
      <c r="I159" s="25">
        <v>5</v>
      </c>
      <c r="J159" s="37">
        <f>1+4</f>
        <v>5</v>
      </c>
      <c r="K159" s="26">
        <f>3699.52+9896.22</f>
        <v>13595.74</v>
      </c>
      <c r="L159" s="26">
        <f>3699.52+9896.22</f>
        <v>13595.74</v>
      </c>
      <c r="M159" s="62">
        <f>K159-L159</f>
        <v>0</v>
      </c>
      <c r="N159" s="40">
        <f>3+2+2</f>
        <v>7</v>
      </c>
      <c r="O159" s="26">
        <f>4438.42+21110.16+8455.71</f>
        <v>34004.29</v>
      </c>
      <c r="P159" s="26">
        <f>4438.42+21110.16</f>
        <v>25548.58</v>
      </c>
      <c r="Q159" s="27">
        <f>O159-P159</f>
        <v>8455.7099999999991</v>
      </c>
    </row>
    <row r="160" spans="1:17" s="3" customFormat="1" x14ac:dyDescent="0.25">
      <c r="A160" s="66"/>
      <c r="B160" s="8" t="s">
        <v>84</v>
      </c>
      <c r="C160" s="48" t="s">
        <v>17</v>
      </c>
      <c r="D160" s="49"/>
      <c r="E160" s="54" t="s">
        <v>20</v>
      </c>
      <c r="F160" s="22" t="s">
        <v>314</v>
      </c>
      <c r="G160" s="67" t="s">
        <v>104</v>
      </c>
      <c r="H160" s="48">
        <v>10</v>
      </c>
      <c r="I160" s="68">
        <v>2</v>
      </c>
      <c r="J160" s="52">
        <v>2</v>
      </c>
      <c r="K160" s="26">
        <v>2942.8</v>
      </c>
      <c r="L160" s="26">
        <v>2942.8</v>
      </c>
      <c r="M160" s="62">
        <f t="shared" si="8"/>
        <v>0</v>
      </c>
      <c r="N160" s="40">
        <v>10</v>
      </c>
      <c r="O160" s="129">
        <v>10720.2</v>
      </c>
      <c r="P160" s="129">
        <v>10720.2</v>
      </c>
      <c r="Q160" s="69">
        <f t="shared" si="9"/>
        <v>0</v>
      </c>
    </row>
    <row r="161" spans="1:17" s="3" customFormat="1" x14ac:dyDescent="0.25">
      <c r="A161" s="66"/>
      <c r="B161" s="8" t="s">
        <v>85</v>
      </c>
      <c r="C161" s="48" t="s">
        <v>17</v>
      </c>
      <c r="D161" s="49"/>
      <c r="E161" s="54" t="s">
        <v>20</v>
      </c>
      <c r="F161" s="22"/>
      <c r="G161" s="23" t="s">
        <v>102</v>
      </c>
      <c r="H161" s="24"/>
      <c r="I161" s="25"/>
      <c r="J161" s="37"/>
      <c r="K161" s="26"/>
      <c r="L161" s="26"/>
      <c r="M161" s="62">
        <f>K161-L161</f>
        <v>0</v>
      </c>
      <c r="N161" s="40"/>
      <c r="O161" s="28"/>
      <c r="P161" s="28"/>
      <c r="Q161" s="27">
        <f>O161-P161</f>
        <v>0</v>
      </c>
    </row>
    <row r="162" spans="1:17" s="3" customFormat="1" x14ac:dyDescent="0.25">
      <c r="A162" s="66"/>
      <c r="B162" s="11" t="s">
        <v>117</v>
      </c>
      <c r="C162" s="48" t="s">
        <v>17</v>
      </c>
      <c r="D162" s="49"/>
      <c r="E162" s="54" t="s">
        <v>20</v>
      </c>
      <c r="F162" s="22" t="s">
        <v>315</v>
      </c>
      <c r="G162" s="67" t="s">
        <v>104</v>
      </c>
      <c r="H162" s="48">
        <v>2</v>
      </c>
      <c r="I162" s="68"/>
      <c r="J162" s="52"/>
      <c r="K162" s="53"/>
      <c r="L162" s="53"/>
      <c r="M162" s="62">
        <f t="shared" si="8"/>
        <v>0</v>
      </c>
      <c r="N162" s="43">
        <v>6</v>
      </c>
      <c r="O162" s="129">
        <v>30549.07</v>
      </c>
      <c r="P162" s="129">
        <v>30549.07</v>
      </c>
      <c r="Q162" s="69">
        <f t="shared" si="9"/>
        <v>0</v>
      </c>
    </row>
    <row r="163" spans="1:17" s="3" customFormat="1" x14ac:dyDescent="0.25">
      <c r="A163" s="66"/>
      <c r="B163" s="11" t="s">
        <v>117</v>
      </c>
      <c r="C163" s="48" t="s">
        <v>17</v>
      </c>
      <c r="D163" s="49"/>
      <c r="E163" s="54" t="s">
        <v>20</v>
      </c>
      <c r="F163" s="51" t="s">
        <v>212</v>
      </c>
      <c r="G163" s="23" t="s">
        <v>102</v>
      </c>
      <c r="H163" s="24">
        <v>7</v>
      </c>
      <c r="I163" s="29">
        <v>4</v>
      </c>
      <c r="J163" s="37">
        <f>1+2+1</f>
        <v>4</v>
      </c>
      <c r="K163" s="26">
        <f>7752.21+1144.54</f>
        <v>8896.75</v>
      </c>
      <c r="L163" s="26">
        <f>7752.21+1144.54</f>
        <v>8896.75</v>
      </c>
      <c r="M163" s="62">
        <f t="shared" si="8"/>
        <v>0</v>
      </c>
      <c r="N163" s="40">
        <f>2+1+2+1</f>
        <v>6</v>
      </c>
      <c r="O163" s="26">
        <f>9561.8+1555.48+16877.87</f>
        <v>27995.149999999998</v>
      </c>
      <c r="P163" s="26">
        <f>9561.8+1555.48</f>
        <v>11117.279999999999</v>
      </c>
      <c r="Q163" s="27">
        <f t="shared" si="9"/>
        <v>16877.87</v>
      </c>
    </row>
    <row r="164" spans="1:17" s="3" customFormat="1" x14ac:dyDescent="0.25">
      <c r="A164" s="66"/>
      <c r="B164" s="11" t="s">
        <v>334</v>
      </c>
      <c r="C164" s="48"/>
      <c r="D164" s="49"/>
      <c r="E164" s="54"/>
      <c r="F164" s="51"/>
      <c r="G164" s="23" t="s">
        <v>102</v>
      </c>
      <c r="H164" s="24">
        <v>7</v>
      </c>
      <c r="I164" s="29"/>
      <c r="J164" s="37"/>
      <c r="K164" s="26"/>
      <c r="L164" s="26"/>
      <c r="M164" s="62"/>
      <c r="N164" s="40"/>
      <c r="O164" s="28"/>
      <c r="P164" s="28"/>
      <c r="Q164" s="27"/>
    </row>
    <row r="165" spans="1:17" s="3" customFormat="1" x14ac:dyDescent="0.25">
      <c r="A165" s="66"/>
      <c r="B165" s="11" t="s">
        <v>334</v>
      </c>
      <c r="C165" s="48"/>
      <c r="D165" s="49"/>
      <c r="E165" s="54"/>
      <c r="F165" s="51"/>
      <c r="G165" s="23" t="s">
        <v>106</v>
      </c>
      <c r="H165" s="24">
        <v>4</v>
      </c>
      <c r="I165" s="29">
        <v>3</v>
      </c>
      <c r="J165" s="37">
        <v>3</v>
      </c>
      <c r="K165" s="26">
        <v>3973</v>
      </c>
      <c r="L165" s="26">
        <v>3973</v>
      </c>
      <c r="M165" s="62">
        <f t="shared" si="8"/>
        <v>0</v>
      </c>
      <c r="N165" s="40"/>
      <c r="O165" s="28"/>
      <c r="P165" s="28"/>
      <c r="Q165" s="27">
        <f t="shared" ref="Q165" si="11">O165-P165</f>
        <v>0</v>
      </c>
    </row>
    <row r="166" spans="1:17" s="3" customFormat="1" x14ac:dyDescent="0.25">
      <c r="A166" s="66"/>
      <c r="B166" s="11" t="s">
        <v>132</v>
      </c>
      <c r="C166" s="48" t="s">
        <v>17</v>
      </c>
      <c r="D166" s="49"/>
      <c r="E166" s="54" t="s">
        <v>20</v>
      </c>
      <c r="F166" s="51"/>
      <c r="G166" s="23" t="s">
        <v>102</v>
      </c>
      <c r="H166" s="24"/>
      <c r="I166" s="29"/>
      <c r="J166" s="37"/>
      <c r="K166" s="26"/>
      <c r="L166" s="26"/>
      <c r="M166" s="62">
        <f t="shared" si="8"/>
        <v>0</v>
      </c>
      <c r="N166" s="40"/>
      <c r="O166" s="28">
        <f>5722.65</f>
        <v>5722.65</v>
      </c>
      <c r="P166" s="28">
        <f>5722.65</f>
        <v>5722.65</v>
      </c>
      <c r="Q166" s="27">
        <f t="shared" si="9"/>
        <v>0</v>
      </c>
    </row>
    <row r="167" spans="1:17" s="3" customFormat="1" x14ac:dyDescent="0.25">
      <c r="A167" s="66"/>
      <c r="B167" s="11" t="s">
        <v>166</v>
      </c>
      <c r="C167" s="48" t="s">
        <v>17</v>
      </c>
      <c r="D167" s="49"/>
      <c r="E167" s="54" t="s">
        <v>20</v>
      </c>
      <c r="F167" s="51" t="s">
        <v>247</v>
      </c>
      <c r="G167" s="23" t="s">
        <v>102</v>
      </c>
      <c r="H167" s="24">
        <v>14</v>
      </c>
      <c r="I167" s="29">
        <v>6</v>
      </c>
      <c r="J167" s="37">
        <f>1+1+7+2</f>
        <v>11</v>
      </c>
      <c r="K167" s="26">
        <f>3300.88+6873.75</f>
        <v>10174.630000000001</v>
      </c>
      <c r="L167" s="26">
        <f>3300.88+6873.75</f>
        <v>10174.630000000001</v>
      </c>
      <c r="M167" s="62">
        <f t="shared" si="8"/>
        <v>0</v>
      </c>
      <c r="N167" s="40">
        <f>3+2+2+2+1</f>
        <v>10</v>
      </c>
      <c r="O167" s="28">
        <f>5086.84+13053.36</f>
        <v>18140.2</v>
      </c>
      <c r="P167" s="28">
        <f>5086.84</f>
        <v>5086.84</v>
      </c>
      <c r="Q167" s="27">
        <f t="shared" si="9"/>
        <v>13053.36</v>
      </c>
    </row>
    <row r="168" spans="1:17" s="4" customFormat="1" x14ac:dyDescent="0.25">
      <c r="A168" s="66"/>
      <c r="B168" s="11" t="s">
        <v>86</v>
      </c>
      <c r="C168" s="48" t="s">
        <v>17</v>
      </c>
      <c r="D168" s="49"/>
      <c r="E168" s="54" t="s">
        <v>20</v>
      </c>
      <c r="F168" s="51" t="s">
        <v>248</v>
      </c>
      <c r="G168" s="23" t="s">
        <v>102</v>
      </c>
      <c r="H168" s="24">
        <v>10</v>
      </c>
      <c r="I168" s="25">
        <v>4</v>
      </c>
      <c r="J168" s="37">
        <f>4+1</f>
        <v>5</v>
      </c>
      <c r="K168" s="26"/>
      <c r="L168" s="26"/>
      <c r="M168" s="62">
        <f t="shared" si="8"/>
        <v>0</v>
      </c>
      <c r="N168" s="40">
        <f>1+3</f>
        <v>4</v>
      </c>
      <c r="O168" s="26">
        <f>1600.72+2396.28</f>
        <v>3997</v>
      </c>
      <c r="P168" s="26">
        <f>1600.72</f>
        <v>1600.72</v>
      </c>
      <c r="Q168" s="27">
        <f t="shared" si="9"/>
        <v>2396.2799999999997</v>
      </c>
    </row>
    <row r="169" spans="1:17" s="4" customFormat="1" x14ac:dyDescent="0.25">
      <c r="A169" s="66"/>
      <c r="B169" s="11" t="s">
        <v>86</v>
      </c>
      <c r="C169" s="48" t="s">
        <v>17</v>
      </c>
      <c r="D169" s="49"/>
      <c r="E169" s="54" t="s">
        <v>20</v>
      </c>
      <c r="F169" s="22"/>
      <c r="G169" s="67" t="s">
        <v>104</v>
      </c>
      <c r="H169" s="48"/>
      <c r="I169" s="68"/>
      <c r="J169" s="52"/>
      <c r="K169" s="26"/>
      <c r="L169" s="26"/>
      <c r="M169" s="62">
        <f t="shared" si="8"/>
        <v>0</v>
      </c>
      <c r="N169" s="43"/>
      <c r="O169" s="129"/>
      <c r="P169" s="129"/>
      <c r="Q169" s="69">
        <f t="shared" si="9"/>
        <v>0</v>
      </c>
    </row>
    <row r="170" spans="1:17" s="4" customFormat="1" x14ac:dyDescent="0.25">
      <c r="A170" s="66"/>
      <c r="B170" s="11" t="s">
        <v>173</v>
      </c>
      <c r="C170" s="48"/>
      <c r="D170" s="49"/>
      <c r="E170" s="54"/>
      <c r="F170" s="116" t="s">
        <v>261</v>
      </c>
      <c r="G170" s="96" t="s">
        <v>102</v>
      </c>
      <c r="H170" s="48">
        <v>19</v>
      </c>
      <c r="I170" s="68">
        <v>5</v>
      </c>
      <c r="J170" s="52">
        <f>2+4+2</f>
        <v>8</v>
      </c>
      <c r="K170" s="26">
        <f>3722.38+6035.58</f>
        <v>9757.9599999999991</v>
      </c>
      <c r="L170" s="26">
        <f>3722.38+6035.58</f>
        <v>9757.9599999999991</v>
      </c>
      <c r="M170" s="62">
        <f t="shared" si="8"/>
        <v>0</v>
      </c>
      <c r="N170" s="43"/>
      <c r="O170" s="129">
        <f>2343.31</f>
        <v>2343.31</v>
      </c>
      <c r="P170" s="129"/>
      <c r="Q170" s="27">
        <f t="shared" si="9"/>
        <v>2343.31</v>
      </c>
    </row>
    <row r="171" spans="1:17" s="3" customFormat="1" x14ac:dyDescent="0.25">
      <c r="A171" s="66"/>
      <c r="B171" s="8" t="s">
        <v>89</v>
      </c>
      <c r="C171" s="48" t="s">
        <v>17</v>
      </c>
      <c r="D171" s="49"/>
      <c r="E171" s="54" t="s">
        <v>20</v>
      </c>
      <c r="F171" s="51" t="s">
        <v>213</v>
      </c>
      <c r="G171" s="23" t="s">
        <v>102</v>
      </c>
      <c r="H171" s="24">
        <v>13</v>
      </c>
      <c r="I171" s="25">
        <v>8</v>
      </c>
      <c r="J171" s="37">
        <f>2+7</f>
        <v>9</v>
      </c>
      <c r="K171" s="26">
        <f>3291.42+1429.36</f>
        <v>4720.78</v>
      </c>
      <c r="L171" s="26">
        <f>3291.42+1429.36</f>
        <v>4720.78</v>
      </c>
      <c r="M171" s="62">
        <f t="shared" si="8"/>
        <v>0</v>
      </c>
      <c r="N171" s="40">
        <f>3+3+1</f>
        <v>7</v>
      </c>
      <c r="O171" s="26">
        <f>14998.37+8632.12</f>
        <v>23630.49</v>
      </c>
      <c r="P171" s="26">
        <f>14998.37</f>
        <v>14998.37</v>
      </c>
      <c r="Q171" s="27">
        <f t="shared" si="9"/>
        <v>8632.1200000000008</v>
      </c>
    </row>
    <row r="172" spans="1:17" s="3" customFormat="1" x14ac:dyDescent="0.25">
      <c r="A172" s="66"/>
      <c r="B172" s="8" t="s">
        <v>89</v>
      </c>
      <c r="C172" s="48" t="s">
        <v>17</v>
      </c>
      <c r="D172" s="49"/>
      <c r="E172" s="54" t="s">
        <v>20</v>
      </c>
      <c r="F172" s="22" t="s">
        <v>316</v>
      </c>
      <c r="G172" s="67" t="s">
        <v>104</v>
      </c>
      <c r="H172" s="48">
        <v>6</v>
      </c>
      <c r="I172" s="68">
        <v>2</v>
      </c>
      <c r="J172" s="52">
        <v>2</v>
      </c>
      <c r="K172" s="26">
        <v>1891.8</v>
      </c>
      <c r="L172" s="26">
        <v>1891.8</v>
      </c>
      <c r="M172" s="62">
        <f t="shared" si="8"/>
        <v>0</v>
      </c>
      <c r="N172" s="40">
        <v>3</v>
      </c>
      <c r="O172" s="129">
        <v>7777.4</v>
      </c>
      <c r="P172" s="129">
        <v>7777.4</v>
      </c>
      <c r="Q172" s="69">
        <f t="shared" si="9"/>
        <v>0</v>
      </c>
    </row>
    <row r="173" spans="1:17" s="3" customFormat="1" x14ac:dyDescent="0.25">
      <c r="A173" s="66"/>
      <c r="B173" s="8" t="s">
        <v>90</v>
      </c>
      <c r="C173" s="48" t="s">
        <v>17</v>
      </c>
      <c r="D173" s="49"/>
      <c r="E173" s="54" t="s">
        <v>91</v>
      </c>
      <c r="F173" s="22"/>
      <c r="G173" s="23" t="s">
        <v>102</v>
      </c>
      <c r="H173" s="24"/>
      <c r="I173" s="25"/>
      <c r="J173" s="37"/>
      <c r="K173" s="26"/>
      <c r="L173" s="26"/>
      <c r="M173" s="62">
        <f>K173-L173</f>
        <v>0</v>
      </c>
      <c r="N173" s="95">
        <f>4</f>
        <v>4</v>
      </c>
      <c r="O173" s="26">
        <f>10850.36</f>
        <v>10850.36</v>
      </c>
      <c r="P173" s="26">
        <f>10850.36</f>
        <v>10850.36</v>
      </c>
      <c r="Q173" s="27">
        <f>O173-P173</f>
        <v>0</v>
      </c>
    </row>
    <row r="174" spans="1:17" s="3" customFormat="1" x14ac:dyDescent="0.25">
      <c r="A174" s="66"/>
      <c r="B174" s="8" t="s">
        <v>90</v>
      </c>
      <c r="C174" s="48" t="s">
        <v>17</v>
      </c>
      <c r="D174" s="49"/>
      <c r="E174" s="54" t="s">
        <v>91</v>
      </c>
      <c r="F174" s="22"/>
      <c r="G174" s="67" t="s">
        <v>104</v>
      </c>
      <c r="H174" s="48"/>
      <c r="I174" s="68"/>
      <c r="J174" s="52"/>
      <c r="K174" s="26"/>
      <c r="L174" s="26"/>
      <c r="M174" s="62">
        <f t="shared" si="8"/>
        <v>0</v>
      </c>
      <c r="N174" s="40"/>
      <c r="O174" s="129"/>
      <c r="P174" s="129"/>
      <c r="Q174" s="69">
        <f t="shared" si="9"/>
        <v>0</v>
      </c>
    </row>
    <row r="175" spans="1:17" s="3" customFormat="1" x14ac:dyDescent="0.25">
      <c r="A175" s="66"/>
      <c r="B175" s="8" t="s">
        <v>92</v>
      </c>
      <c r="C175" s="48" t="s">
        <v>17</v>
      </c>
      <c r="D175" s="49"/>
      <c r="E175" s="54" t="s">
        <v>35</v>
      </c>
      <c r="F175" s="113" t="s">
        <v>232</v>
      </c>
      <c r="G175" s="23" t="s">
        <v>102</v>
      </c>
      <c r="H175" s="24">
        <v>23</v>
      </c>
      <c r="I175" s="25">
        <v>17</v>
      </c>
      <c r="J175" s="37">
        <f>1+2+5+4+4+2</f>
        <v>18</v>
      </c>
      <c r="K175" s="26">
        <f>60281.74</f>
        <v>60281.74</v>
      </c>
      <c r="L175" s="26">
        <f>8424.24+42260.04</f>
        <v>50684.28</v>
      </c>
      <c r="M175" s="62">
        <f>K175-L175</f>
        <v>9597.4599999999991</v>
      </c>
      <c r="N175" s="40">
        <f>10+3+1+6+6+1+1+2</f>
        <v>30</v>
      </c>
      <c r="O175" s="28">
        <f>24661.01</f>
        <v>24661.01</v>
      </c>
      <c r="P175" s="28">
        <f>24661.01</f>
        <v>24661.01</v>
      </c>
      <c r="Q175" s="27">
        <f>O175-P175</f>
        <v>0</v>
      </c>
    </row>
    <row r="176" spans="1:17" s="3" customFormat="1" x14ac:dyDescent="0.25">
      <c r="A176" s="66"/>
      <c r="B176" s="8" t="s">
        <v>92</v>
      </c>
      <c r="C176" s="48" t="s">
        <v>17</v>
      </c>
      <c r="D176" s="49"/>
      <c r="E176" s="54" t="s">
        <v>35</v>
      </c>
      <c r="F176" s="22" t="s">
        <v>282</v>
      </c>
      <c r="G176" s="72" t="s">
        <v>107</v>
      </c>
      <c r="H176" s="48">
        <v>3</v>
      </c>
      <c r="I176" s="68">
        <v>1</v>
      </c>
      <c r="J176" s="37">
        <v>1</v>
      </c>
      <c r="K176" s="26">
        <v>2102</v>
      </c>
      <c r="L176" s="26">
        <v>2102</v>
      </c>
      <c r="M176" s="62">
        <f t="shared" si="8"/>
        <v>0</v>
      </c>
      <c r="N176" s="40">
        <v>3</v>
      </c>
      <c r="O176" s="26">
        <v>7335.98</v>
      </c>
      <c r="P176" s="26">
        <v>1387.32</v>
      </c>
      <c r="Q176" s="69">
        <f t="shared" si="9"/>
        <v>5948.66</v>
      </c>
    </row>
    <row r="177" spans="1:17" s="3" customFormat="1" x14ac:dyDescent="0.25">
      <c r="A177" s="66"/>
      <c r="B177" s="8" t="s">
        <v>156</v>
      </c>
      <c r="C177" s="48" t="s">
        <v>17</v>
      </c>
      <c r="D177" s="49"/>
      <c r="E177" s="54" t="s">
        <v>91</v>
      </c>
      <c r="F177" s="115" t="s">
        <v>324</v>
      </c>
      <c r="G177" s="72" t="s">
        <v>102</v>
      </c>
      <c r="H177" s="48">
        <v>2</v>
      </c>
      <c r="I177" s="68"/>
      <c r="J177" s="37"/>
      <c r="K177" s="26"/>
      <c r="L177" s="26"/>
      <c r="M177" s="62">
        <f t="shared" si="8"/>
        <v>0</v>
      </c>
      <c r="N177" s="40">
        <f>1</f>
        <v>1</v>
      </c>
      <c r="O177" s="26">
        <f>1238.22</f>
        <v>1238.22</v>
      </c>
      <c r="P177" s="26">
        <f>1238.22</f>
        <v>1238.22</v>
      </c>
      <c r="Q177" s="27">
        <f t="shared" si="9"/>
        <v>0</v>
      </c>
    </row>
    <row r="178" spans="1:17" s="4" customFormat="1" x14ac:dyDescent="0.25">
      <c r="A178" s="66"/>
      <c r="B178" s="8" t="s">
        <v>93</v>
      </c>
      <c r="C178" s="48" t="s">
        <v>17</v>
      </c>
      <c r="D178" s="49"/>
      <c r="E178" s="50" t="s">
        <v>32</v>
      </c>
      <c r="F178" s="22"/>
      <c r="G178" s="23" t="s">
        <v>102</v>
      </c>
      <c r="H178" s="24"/>
      <c r="I178" s="25"/>
      <c r="J178" s="37"/>
      <c r="K178" s="26"/>
      <c r="L178" s="26"/>
      <c r="M178" s="62">
        <f t="shared" si="8"/>
        <v>0</v>
      </c>
      <c r="N178" s="40"/>
      <c r="O178" s="28"/>
      <c r="P178" s="28"/>
      <c r="Q178" s="27">
        <f t="shared" si="9"/>
        <v>0</v>
      </c>
    </row>
    <row r="179" spans="1:17" s="4" customFormat="1" x14ac:dyDescent="0.25">
      <c r="A179" s="66"/>
      <c r="B179" s="8" t="s">
        <v>93</v>
      </c>
      <c r="C179" s="48" t="s">
        <v>17</v>
      </c>
      <c r="D179" s="49"/>
      <c r="E179" s="50" t="s">
        <v>32</v>
      </c>
      <c r="F179" s="22"/>
      <c r="G179" s="72" t="s">
        <v>107</v>
      </c>
      <c r="H179" s="48"/>
      <c r="I179" s="68"/>
      <c r="J179" s="52"/>
      <c r="K179" s="26"/>
      <c r="L179" s="26"/>
      <c r="M179" s="62">
        <f t="shared" si="8"/>
        <v>0</v>
      </c>
      <c r="N179" s="43"/>
      <c r="O179" s="26"/>
      <c r="P179" s="26"/>
      <c r="Q179" s="69">
        <f t="shared" si="9"/>
        <v>0</v>
      </c>
    </row>
    <row r="180" spans="1:17" s="4" customFormat="1" ht="30" x14ac:dyDescent="0.25">
      <c r="A180" s="66"/>
      <c r="B180" s="8" t="s">
        <v>119</v>
      </c>
      <c r="C180" s="48" t="s">
        <v>135</v>
      </c>
      <c r="D180" s="49" t="s">
        <v>140</v>
      </c>
      <c r="E180" s="54" t="s">
        <v>91</v>
      </c>
      <c r="F180" s="114" t="s">
        <v>214</v>
      </c>
      <c r="G180" s="117" t="s">
        <v>102</v>
      </c>
      <c r="H180" s="24">
        <v>17</v>
      </c>
      <c r="I180" s="25">
        <v>13</v>
      </c>
      <c r="J180" s="38">
        <f>1+1+1+2+1+3+3+1+1+1</f>
        <v>15</v>
      </c>
      <c r="K180" s="26">
        <f>3659.92+551.78+2861.35+4624.4+4131.27+1849.76</f>
        <v>17678.48</v>
      </c>
      <c r="L180" s="26">
        <f>3659.92+551.78+2861.35+4624.4+4131.27+1849.76</f>
        <v>17678.48</v>
      </c>
      <c r="M180" s="62">
        <f>K180-L180</f>
        <v>0</v>
      </c>
      <c r="N180" s="40">
        <f>7+1+2+1+1+1+1+1</f>
        <v>15</v>
      </c>
      <c r="O180" s="26">
        <f>12026.44+8654.02+4532.88+7283.22+1450.8</f>
        <v>33947.360000000001</v>
      </c>
      <c r="P180" s="26">
        <f>12026.44+8654.02+4532.88+7283.22</f>
        <v>32496.560000000001</v>
      </c>
      <c r="Q180" s="27">
        <f>O180-P180</f>
        <v>1450.7999999999993</v>
      </c>
    </row>
    <row r="181" spans="1:17" s="4" customFormat="1" x14ac:dyDescent="0.25">
      <c r="A181" s="66"/>
      <c r="B181" s="8" t="s">
        <v>156</v>
      </c>
      <c r="C181" s="48" t="s">
        <v>17</v>
      </c>
      <c r="D181" s="49"/>
      <c r="E181" s="54"/>
      <c r="F181" s="22" t="s">
        <v>317</v>
      </c>
      <c r="G181" s="15" t="s">
        <v>104</v>
      </c>
      <c r="H181" s="24">
        <v>15</v>
      </c>
      <c r="I181" s="25">
        <v>4</v>
      </c>
      <c r="J181" s="38">
        <v>4</v>
      </c>
      <c r="K181" s="26">
        <v>6810.48</v>
      </c>
      <c r="L181" s="26">
        <v>6810.48</v>
      </c>
      <c r="M181" s="62">
        <f t="shared" si="8"/>
        <v>0</v>
      </c>
      <c r="N181" s="40">
        <v>11</v>
      </c>
      <c r="O181" s="26">
        <v>42762.28</v>
      </c>
      <c r="P181" s="26">
        <v>42762.28</v>
      </c>
      <c r="Q181" s="69">
        <f t="shared" si="9"/>
        <v>0</v>
      </c>
    </row>
    <row r="182" spans="1:17" s="4" customFormat="1" x14ac:dyDescent="0.25">
      <c r="A182" s="66"/>
      <c r="B182" s="8" t="s">
        <v>173</v>
      </c>
      <c r="C182" s="48" t="s">
        <v>17</v>
      </c>
      <c r="D182" s="49"/>
      <c r="E182" s="54" t="s">
        <v>18</v>
      </c>
      <c r="F182" s="22" t="s">
        <v>299</v>
      </c>
      <c r="G182" s="15" t="s">
        <v>106</v>
      </c>
      <c r="H182" s="24">
        <v>5</v>
      </c>
      <c r="I182" s="25">
        <v>2</v>
      </c>
      <c r="J182" s="38">
        <v>2</v>
      </c>
      <c r="K182" s="26">
        <v>3048</v>
      </c>
      <c r="L182" s="26">
        <v>3048</v>
      </c>
      <c r="M182" s="62">
        <f t="shared" si="8"/>
        <v>0</v>
      </c>
      <c r="N182" s="40">
        <v>4</v>
      </c>
      <c r="O182" s="26">
        <v>9175</v>
      </c>
      <c r="P182" s="26">
        <v>9175</v>
      </c>
      <c r="Q182" s="27">
        <f t="shared" si="9"/>
        <v>0</v>
      </c>
    </row>
    <row r="183" spans="1:17" s="4" customFormat="1" x14ac:dyDescent="0.25">
      <c r="A183" s="66"/>
      <c r="B183" s="8" t="s">
        <v>156</v>
      </c>
      <c r="C183" s="48" t="s">
        <v>17</v>
      </c>
      <c r="D183" s="49"/>
      <c r="E183" s="54"/>
      <c r="F183" s="22" t="s">
        <v>298</v>
      </c>
      <c r="G183" s="15" t="s">
        <v>106</v>
      </c>
      <c r="H183" s="24">
        <v>1</v>
      </c>
      <c r="I183" s="25"/>
      <c r="J183" s="38"/>
      <c r="K183" s="26"/>
      <c r="L183" s="26"/>
      <c r="M183" s="62">
        <f t="shared" si="8"/>
        <v>0</v>
      </c>
      <c r="N183" s="40">
        <v>2</v>
      </c>
      <c r="O183" s="26">
        <v>16204</v>
      </c>
      <c r="P183" s="26">
        <v>16204</v>
      </c>
      <c r="Q183" s="27">
        <f t="shared" si="9"/>
        <v>0</v>
      </c>
    </row>
    <row r="184" spans="1:17" s="4" customFormat="1" ht="30" x14ac:dyDescent="0.25">
      <c r="A184" s="66"/>
      <c r="B184" s="75" t="s">
        <v>119</v>
      </c>
      <c r="C184" s="48" t="s">
        <v>152</v>
      </c>
      <c r="D184" s="49" t="s">
        <v>140</v>
      </c>
      <c r="E184" s="50" t="s">
        <v>20</v>
      </c>
      <c r="F184" s="119" t="s">
        <v>318</v>
      </c>
      <c r="G184" s="123" t="s">
        <v>104</v>
      </c>
      <c r="H184" s="48">
        <v>31</v>
      </c>
      <c r="I184" s="71">
        <v>3</v>
      </c>
      <c r="J184" s="55">
        <v>5</v>
      </c>
      <c r="K184" s="26">
        <v>11232.6</v>
      </c>
      <c r="L184" s="26">
        <v>11232.6</v>
      </c>
      <c r="M184" s="62">
        <f t="shared" si="8"/>
        <v>0</v>
      </c>
      <c r="N184" s="40">
        <v>25</v>
      </c>
      <c r="O184" s="129">
        <v>52040.37</v>
      </c>
      <c r="P184" s="129">
        <v>52040.37</v>
      </c>
      <c r="Q184" s="69">
        <f t="shared" ref="Q184" si="12">O184-P184</f>
        <v>0</v>
      </c>
    </row>
    <row r="185" spans="1:17" s="6" customFormat="1" ht="45" x14ac:dyDescent="0.25">
      <c r="A185" s="48"/>
      <c r="B185" s="8" t="s">
        <v>94</v>
      </c>
      <c r="C185" s="48" t="s">
        <v>135</v>
      </c>
      <c r="D185" s="49" t="s">
        <v>150</v>
      </c>
      <c r="E185" s="54" t="s">
        <v>20</v>
      </c>
      <c r="F185" s="118" t="s">
        <v>233</v>
      </c>
      <c r="G185" s="7" t="s">
        <v>102</v>
      </c>
      <c r="H185" s="24">
        <v>12</v>
      </c>
      <c r="I185" s="25">
        <v>3</v>
      </c>
      <c r="J185" s="38">
        <f>1+1+2</f>
        <v>4</v>
      </c>
      <c r="K185" s="30">
        <f>2682.89+462.44+1889.28</f>
        <v>5034.6099999999997</v>
      </c>
      <c r="L185" s="30">
        <f>2682.89+462.44+1889.28</f>
        <v>5034.6099999999997</v>
      </c>
      <c r="M185" s="62">
        <f>K185-L185</f>
        <v>0</v>
      </c>
      <c r="N185" s="40">
        <f>4+4+1+3</f>
        <v>12</v>
      </c>
      <c r="O185" s="30">
        <f>13763.29+33099.86+30924.1+2833.08</f>
        <v>80620.33</v>
      </c>
      <c r="P185" s="30">
        <f>13763.29+33099.86+30924.1</f>
        <v>77787.25</v>
      </c>
      <c r="Q185" s="27">
        <f>O185-P185</f>
        <v>2833.0800000000017</v>
      </c>
    </row>
    <row r="186" spans="1:17" s="6" customFormat="1" ht="60" x14ac:dyDescent="0.25">
      <c r="A186" s="48"/>
      <c r="B186" s="8" t="s">
        <v>94</v>
      </c>
      <c r="C186" s="56" t="s">
        <v>110</v>
      </c>
      <c r="D186" s="49" t="s">
        <v>111</v>
      </c>
      <c r="E186" s="54" t="s">
        <v>20</v>
      </c>
      <c r="F186" s="119" t="s">
        <v>319</v>
      </c>
      <c r="G186" s="73" t="s">
        <v>104</v>
      </c>
      <c r="H186" s="48">
        <v>4</v>
      </c>
      <c r="I186" s="71"/>
      <c r="J186" s="55"/>
      <c r="K186" s="30"/>
      <c r="L186" s="30"/>
      <c r="M186" s="62">
        <f t="shared" si="8"/>
        <v>0</v>
      </c>
      <c r="N186" s="40">
        <v>1</v>
      </c>
      <c r="O186" s="130">
        <v>20389.400000000001</v>
      </c>
      <c r="P186" s="130">
        <v>20389.400000000001</v>
      </c>
      <c r="Q186" s="69">
        <f t="shared" si="9"/>
        <v>0</v>
      </c>
    </row>
    <row r="187" spans="1:17" s="6" customFormat="1" x14ac:dyDescent="0.25">
      <c r="A187" s="48"/>
      <c r="B187" s="8" t="s">
        <v>94</v>
      </c>
      <c r="C187" s="56"/>
      <c r="D187" s="49"/>
      <c r="E187" s="54"/>
      <c r="F187" s="119"/>
      <c r="G187" s="124" t="s">
        <v>106</v>
      </c>
      <c r="H187" s="48">
        <v>3</v>
      </c>
      <c r="I187" s="71"/>
      <c r="J187" s="55"/>
      <c r="K187" s="30"/>
      <c r="L187" s="30"/>
      <c r="M187" s="62"/>
      <c r="N187" s="40"/>
      <c r="O187" s="130"/>
      <c r="P187" s="130"/>
      <c r="Q187" s="69"/>
    </row>
    <row r="188" spans="1:17" s="3" customFormat="1" x14ac:dyDescent="0.25">
      <c r="A188" s="66"/>
      <c r="B188" s="11" t="s">
        <v>95</v>
      </c>
      <c r="C188" s="48" t="s">
        <v>17</v>
      </c>
      <c r="D188" s="49"/>
      <c r="E188" s="54" t="s">
        <v>20</v>
      </c>
      <c r="F188" s="51" t="s">
        <v>215</v>
      </c>
      <c r="G188" s="23" t="s">
        <v>102</v>
      </c>
      <c r="H188" s="24">
        <v>12</v>
      </c>
      <c r="I188" s="25">
        <v>6</v>
      </c>
      <c r="J188" s="37">
        <f>1+1+3+1</f>
        <v>6</v>
      </c>
      <c r="K188" s="26">
        <f>1144.54</f>
        <v>1144.54</v>
      </c>
      <c r="L188" s="26">
        <f>1144.54</f>
        <v>1144.54</v>
      </c>
      <c r="M188" s="62">
        <f t="shared" si="8"/>
        <v>0</v>
      </c>
      <c r="N188" s="40">
        <f>5+1+1+1</f>
        <v>8</v>
      </c>
      <c r="O188" s="26">
        <f>23349.15+462.44+3577.18</f>
        <v>27388.77</v>
      </c>
      <c r="P188" s="26">
        <f>23349.15+462.44+3577.18</f>
        <v>27388.77</v>
      </c>
      <c r="Q188" s="27">
        <f t="shared" si="9"/>
        <v>0</v>
      </c>
    </row>
    <row r="189" spans="1:17" s="3" customFormat="1" x14ac:dyDescent="0.25">
      <c r="A189" s="66"/>
      <c r="B189" s="11" t="s">
        <v>121</v>
      </c>
      <c r="C189" s="48" t="s">
        <v>17</v>
      </c>
      <c r="D189" s="49"/>
      <c r="E189" s="54" t="s">
        <v>20</v>
      </c>
      <c r="F189" s="113" t="s">
        <v>234</v>
      </c>
      <c r="G189" s="23" t="s">
        <v>102</v>
      </c>
      <c r="H189" s="24">
        <v>13</v>
      </c>
      <c r="I189" s="25">
        <v>6</v>
      </c>
      <c r="J189" s="37">
        <f>1+2+1+3</f>
        <v>7</v>
      </c>
      <c r="K189" s="26">
        <f>1144.54+3817.23+2870.18+1040.49</f>
        <v>8872.44</v>
      </c>
      <c r="L189" s="26">
        <f>1144.54+2870.18+3817.23</f>
        <v>7831.95</v>
      </c>
      <c r="M189" s="62">
        <f t="shared" si="8"/>
        <v>1040.4900000000007</v>
      </c>
      <c r="N189" s="40">
        <f>1+7+2+1+3+3</f>
        <v>17</v>
      </c>
      <c r="O189" s="28">
        <f>2717.8+29863.6+3257.05+1040.49+12987.33</f>
        <v>49866.27</v>
      </c>
      <c r="P189" s="28">
        <f>2717.8+29863.6+3257.05+1040.49+12987.33</f>
        <v>49866.27</v>
      </c>
      <c r="Q189" s="27">
        <f t="shared" si="9"/>
        <v>0</v>
      </c>
    </row>
    <row r="190" spans="1:17" s="3" customFormat="1" x14ac:dyDescent="0.25">
      <c r="A190" s="66"/>
      <c r="B190" s="11" t="s">
        <v>121</v>
      </c>
      <c r="C190" s="48" t="s">
        <v>17</v>
      </c>
      <c r="D190" s="49"/>
      <c r="E190" s="50" t="s">
        <v>21</v>
      </c>
      <c r="F190" s="22" t="s">
        <v>267</v>
      </c>
      <c r="G190" s="67" t="s">
        <v>108</v>
      </c>
      <c r="H190" s="48">
        <v>5</v>
      </c>
      <c r="I190" s="71">
        <v>1</v>
      </c>
      <c r="J190" s="52">
        <v>1</v>
      </c>
      <c r="K190" s="53">
        <v>2102</v>
      </c>
      <c r="L190" s="53"/>
      <c r="M190" s="62">
        <f t="shared" si="8"/>
        <v>2102</v>
      </c>
      <c r="N190" s="43">
        <v>7</v>
      </c>
      <c r="O190" s="129">
        <v>9984.5</v>
      </c>
      <c r="P190" s="129">
        <v>7903.52</v>
      </c>
      <c r="Q190" s="27">
        <f t="shared" si="9"/>
        <v>2080.9799999999996</v>
      </c>
    </row>
    <row r="191" spans="1:17" s="3" customFormat="1" x14ac:dyDescent="0.25">
      <c r="A191" s="66"/>
      <c r="B191" s="7" t="s">
        <v>96</v>
      </c>
      <c r="C191" s="48" t="s">
        <v>17</v>
      </c>
      <c r="D191" s="49"/>
      <c r="E191" s="54" t="s">
        <v>20</v>
      </c>
      <c r="F191" s="51" t="s">
        <v>216</v>
      </c>
      <c r="G191" s="23" t="s">
        <v>102</v>
      </c>
      <c r="H191" s="24">
        <v>8</v>
      </c>
      <c r="I191" s="25">
        <v>3</v>
      </c>
      <c r="J191" s="37">
        <f>1+2</f>
        <v>3</v>
      </c>
      <c r="K191" s="26">
        <f>1526.05</f>
        <v>1526.05</v>
      </c>
      <c r="L191" s="26">
        <f>1526.05</f>
        <v>1526.05</v>
      </c>
      <c r="M191" s="62">
        <f>K191-L191</f>
        <v>0</v>
      </c>
      <c r="N191" s="40">
        <f>2+2</f>
        <v>4</v>
      </c>
      <c r="O191" s="26">
        <f>7639.96+10046.45</f>
        <v>17686.41</v>
      </c>
      <c r="P191" s="26">
        <f>7639.96+10046.45</f>
        <v>17686.41</v>
      </c>
      <c r="Q191" s="27">
        <f>O191-P191</f>
        <v>0</v>
      </c>
    </row>
    <row r="192" spans="1:17" s="3" customFormat="1" x14ac:dyDescent="0.25">
      <c r="A192" s="66"/>
      <c r="B192" s="7" t="s">
        <v>96</v>
      </c>
      <c r="C192" s="48" t="s">
        <v>17</v>
      </c>
      <c r="D192" s="49"/>
      <c r="E192" s="54" t="s">
        <v>20</v>
      </c>
      <c r="F192" s="119" t="s">
        <v>320</v>
      </c>
      <c r="G192" s="67" t="s">
        <v>104</v>
      </c>
      <c r="H192" s="48">
        <v>2</v>
      </c>
      <c r="I192" s="68">
        <v>1</v>
      </c>
      <c r="J192" s="52">
        <v>1</v>
      </c>
      <c r="K192" s="26">
        <v>1471.4</v>
      </c>
      <c r="L192" s="26">
        <v>1471.4</v>
      </c>
      <c r="M192" s="62">
        <f t="shared" si="8"/>
        <v>0</v>
      </c>
      <c r="N192" s="40">
        <v>2</v>
      </c>
      <c r="O192" s="129">
        <v>7357</v>
      </c>
      <c r="P192" s="129">
        <v>7357</v>
      </c>
      <c r="Q192" s="69">
        <f t="shared" si="9"/>
        <v>0</v>
      </c>
    </row>
    <row r="193" spans="1:20" s="3" customFormat="1" x14ac:dyDescent="0.25">
      <c r="A193" s="66"/>
      <c r="B193" s="7" t="s">
        <v>97</v>
      </c>
      <c r="C193" s="48" t="s">
        <v>17</v>
      </c>
      <c r="D193" s="49"/>
      <c r="E193" s="50" t="s">
        <v>20</v>
      </c>
      <c r="F193" s="51" t="s">
        <v>217</v>
      </c>
      <c r="G193" s="23" t="s">
        <v>102</v>
      </c>
      <c r="H193" s="24">
        <v>10</v>
      </c>
      <c r="I193" s="25">
        <v>8</v>
      </c>
      <c r="J193" s="37">
        <f>2+1+4+3</f>
        <v>10</v>
      </c>
      <c r="K193" s="26">
        <f>2312.2+3098.8</f>
        <v>5411</v>
      </c>
      <c r="L193" s="26">
        <f>2312.2+3098.8</f>
        <v>5411</v>
      </c>
      <c r="M193" s="62">
        <f>K193-L193</f>
        <v>0</v>
      </c>
      <c r="N193" s="40">
        <f>1+1+1</f>
        <v>3</v>
      </c>
      <c r="O193" s="26">
        <f>2917.82+9651.74+3326.42</f>
        <v>15895.98</v>
      </c>
      <c r="P193" s="26">
        <f>2917.82+9651.74</f>
        <v>12569.56</v>
      </c>
      <c r="Q193" s="27">
        <f>O193-P193</f>
        <v>3326.42</v>
      </c>
    </row>
    <row r="194" spans="1:20" s="3" customFormat="1" ht="14.25" customHeight="1" x14ac:dyDescent="0.25">
      <c r="A194" s="66"/>
      <c r="B194" s="7" t="s">
        <v>97</v>
      </c>
      <c r="C194" s="48" t="s">
        <v>17</v>
      </c>
      <c r="D194" s="49"/>
      <c r="E194" s="50" t="s">
        <v>20</v>
      </c>
      <c r="F194" s="119" t="s">
        <v>321</v>
      </c>
      <c r="G194" s="67" t="s">
        <v>104</v>
      </c>
      <c r="H194" s="48">
        <v>5</v>
      </c>
      <c r="I194" s="68">
        <v>1</v>
      </c>
      <c r="J194" s="52">
        <v>1</v>
      </c>
      <c r="K194" s="26">
        <v>1261.2</v>
      </c>
      <c r="L194" s="26">
        <v>1261.2</v>
      </c>
      <c r="M194" s="62">
        <f t="shared" si="8"/>
        <v>0</v>
      </c>
      <c r="N194" s="40">
        <v>4</v>
      </c>
      <c r="O194" s="129">
        <v>12401.8</v>
      </c>
      <c r="P194" s="129">
        <v>12401.8</v>
      </c>
      <c r="Q194" s="69">
        <f t="shared" si="9"/>
        <v>0</v>
      </c>
    </row>
    <row r="195" spans="1:20" s="4" customFormat="1" x14ac:dyDescent="0.25">
      <c r="A195" s="66"/>
      <c r="B195" s="7" t="s">
        <v>98</v>
      </c>
      <c r="C195" s="48" t="s">
        <v>17</v>
      </c>
      <c r="D195" s="49"/>
      <c r="E195" s="50" t="s">
        <v>20</v>
      </c>
      <c r="F195" s="51" t="s">
        <v>218</v>
      </c>
      <c r="G195" s="23" t="s">
        <v>102</v>
      </c>
      <c r="H195" s="24">
        <v>15</v>
      </c>
      <c r="I195" s="25">
        <v>6</v>
      </c>
      <c r="J195" s="37">
        <f>1+5</f>
        <v>6</v>
      </c>
      <c r="K195" s="26"/>
      <c r="L195" s="26"/>
      <c r="M195" s="62">
        <f>K195-L195</f>
        <v>0</v>
      </c>
      <c r="N195" s="40">
        <f>2+3+2+1+1</f>
        <v>9</v>
      </c>
      <c r="O195" s="26">
        <f>6871.77+26150.9+1303.24+2886.1+1387.32</f>
        <v>38599.329999999994</v>
      </c>
      <c r="P195" s="26">
        <f>6871.77+26150.9+1303.24+2886.1+1387.32</f>
        <v>38599.329999999994</v>
      </c>
      <c r="Q195" s="27">
        <f>O195-P195</f>
        <v>0</v>
      </c>
    </row>
    <row r="196" spans="1:20" s="4" customFormat="1" x14ac:dyDescent="0.25">
      <c r="A196" s="66"/>
      <c r="B196" s="7" t="s">
        <v>98</v>
      </c>
      <c r="C196" s="48" t="s">
        <v>17</v>
      </c>
      <c r="D196" s="49"/>
      <c r="E196" s="50" t="s">
        <v>20</v>
      </c>
      <c r="F196" s="119" t="s">
        <v>322</v>
      </c>
      <c r="G196" s="67" t="s">
        <v>104</v>
      </c>
      <c r="H196" s="48">
        <v>18</v>
      </c>
      <c r="I196" s="68">
        <v>4</v>
      </c>
      <c r="J196" s="52">
        <v>4</v>
      </c>
      <c r="K196" s="26">
        <v>8197.7999999999993</v>
      </c>
      <c r="L196" s="26">
        <v>8197.7999999999993</v>
      </c>
      <c r="M196" s="62">
        <f t="shared" si="8"/>
        <v>0</v>
      </c>
      <c r="N196" s="43">
        <v>13</v>
      </c>
      <c r="O196" s="129">
        <v>40186.22</v>
      </c>
      <c r="P196" s="129">
        <v>40186.22</v>
      </c>
      <c r="Q196" s="69">
        <f t="shared" si="9"/>
        <v>0</v>
      </c>
    </row>
    <row r="197" spans="1:20" s="3" customFormat="1" x14ac:dyDescent="0.25">
      <c r="A197" s="66"/>
      <c r="B197" s="8" t="s">
        <v>26</v>
      </c>
      <c r="C197" s="48" t="s">
        <v>17</v>
      </c>
      <c r="D197" s="49"/>
      <c r="E197" s="50" t="s">
        <v>32</v>
      </c>
      <c r="F197" s="22" t="s">
        <v>290</v>
      </c>
      <c r="G197" s="23" t="s">
        <v>107</v>
      </c>
      <c r="H197" s="24"/>
      <c r="I197" s="25"/>
      <c r="J197" s="37"/>
      <c r="K197" s="26"/>
      <c r="L197" s="26"/>
      <c r="M197" s="62">
        <f t="shared" si="8"/>
        <v>0</v>
      </c>
      <c r="N197" s="40"/>
      <c r="O197" s="28"/>
      <c r="P197" s="28"/>
      <c r="Q197" s="69">
        <f t="shared" si="9"/>
        <v>0</v>
      </c>
    </row>
    <row r="198" spans="1:20" s="3" customFormat="1" ht="15" customHeight="1" x14ac:dyDescent="0.25">
      <c r="A198" s="66"/>
      <c r="B198" s="8" t="s">
        <v>99</v>
      </c>
      <c r="C198" s="48" t="s">
        <v>17</v>
      </c>
      <c r="D198" s="49"/>
      <c r="E198" s="54" t="s">
        <v>35</v>
      </c>
      <c r="F198" s="51" t="s">
        <v>219</v>
      </c>
      <c r="G198" s="23" t="s">
        <v>102</v>
      </c>
      <c r="H198" s="24">
        <v>18</v>
      </c>
      <c r="I198" s="25">
        <v>11</v>
      </c>
      <c r="J198" s="37">
        <f>1+2+3+4+3</f>
        <v>13</v>
      </c>
      <c r="K198" s="26">
        <f>2531.86+3556.57</f>
        <v>6088.43</v>
      </c>
      <c r="L198" s="26">
        <f>2531.86+3556.57</f>
        <v>6088.43</v>
      </c>
      <c r="M198" s="62">
        <f t="shared" si="8"/>
        <v>0</v>
      </c>
      <c r="N198" s="40">
        <f>5+1+1+3+1</f>
        <v>11</v>
      </c>
      <c r="O198" s="28">
        <f>10861.7+1387.32+3945.19+4161.96+7054.29</f>
        <v>27410.460000000003</v>
      </c>
      <c r="P198" s="28">
        <f>10861.7+1387.32+3945.19+4161.96</f>
        <v>20356.170000000002</v>
      </c>
      <c r="Q198" s="27">
        <f t="shared" si="9"/>
        <v>7054.2900000000009</v>
      </c>
    </row>
    <row r="199" spans="1:20" s="3" customFormat="1" ht="15" customHeight="1" x14ac:dyDescent="0.25">
      <c r="A199" s="66"/>
      <c r="B199" s="11" t="s">
        <v>100</v>
      </c>
      <c r="C199" s="48" t="s">
        <v>17</v>
      </c>
      <c r="D199" s="57"/>
      <c r="E199" s="54" t="s">
        <v>20</v>
      </c>
      <c r="F199" s="51" t="s">
        <v>220</v>
      </c>
      <c r="G199" s="23" t="s">
        <v>102</v>
      </c>
      <c r="H199" s="24">
        <v>12</v>
      </c>
      <c r="I199" s="25">
        <v>8</v>
      </c>
      <c r="J199" s="37">
        <f>1+3+1+1+3</f>
        <v>9</v>
      </c>
      <c r="K199" s="26">
        <f>1040.49+8031.43+2682.89+462.44</f>
        <v>12217.25</v>
      </c>
      <c r="L199" s="26">
        <f>1040.49+8031.43+2682.89+462.44</f>
        <v>12217.25</v>
      </c>
      <c r="M199" s="62">
        <f t="shared" si="8"/>
        <v>0</v>
      </c>
      <c r="N199" s="40">
        <f>1+1+5+1+3+4+1+1</f>
        <v>17</v>
      </c>
      <c r="O199" s="26">
        <f>14004.79+4495.32+12373.12+15765+1387.32</f>
        <v>48025.55</v>
      </c>
      <c r="P199" s="26">
        <f>14004.79+4495.32+3130.14</f>
        <v>21630.25</v>
      </c>
      <c r="Q199" s="27">
        <f t="shared" si="9"/>
        <v>26395.300000000003</v>
      </c>
      <c r="T199" s="45"/>
    </row>
    <row r="200" spans="1:20" ht="15" customHeight="1" x14ac:dyDescent="0.25">
      <c r="A200" s="132"/>
      <c r="B200" s="15"/>
      <c r="C200" s="133"/>
      <c r="D200" s="72"/>
      <c r="E200" s="72"/>
      <c r="F200" s="22"/>
      <c r="G200" s="72" t="s">
        <v>112</v>
      </c>
      <c r="H200" s="77">
        <f>SUM(H10:H199)</f>
        <v>1620</v>
      </c>
      <c r="I200" s="134">
        <f>SUM(I10:I199)</f>
        <v>784</v>
      </c>
      <c r="J200" s="58">
        <f>SUM(J10:J199)</f>
        <v>943</v>
      </c>
      <c r="K200" s="59">
        <f>SUM(K10:K199)</f>
        <v>1360441.9500000002</v>
      </c>
      <c r="L200" s="59">
        <f>SUM(L10:L199)</f>
        <v>1249960.8300000003</v>
      </c>
      <c r="M200" s="60">
        <f>K200-L200</f>
        <v>110481.11999999988</v>
      </c>
      <c r="N200" s="58">
        <f>SUM(N10:N199)</f>
        <v>1294</v>
      </c>
      <c r="O200" s="131">
        <f>SUM(O10:O199)</f>
        <v>3659535.6399999997</v>
      </c>
      <c r="P200" s="131">
        <f>SUM(P10:P199)</f>
        <v>3048375.0799999991</v>
      </c>
      <c r="Q200" s="27">
        <f t="shared" si="9"/>
        <v>611160.56000000052</v>
      </c>
    </row>
    <row r="201" spans="1:20" ht="15" customHeight="1" x14ac:dyDescent="0.25">
      <c r="K201" s="35" t="s">
        <v>136</v>
      </c>
    </row>
    <row r="202" spans="1:20" ht="30" customHeight="1" x14ac:dyDescent="0.25">
      <c r="B202" s="86" t="s">
        <v>169</v>
      </c>
      <c r="F202" s="41" t="s">
        <v>142</v>
      </c>
      <c r="M202" s="46"/>
      <c r="N202" s="81"/>
      <c r="O202" s="82"/>
      <c r="P202" s="83"/>
      <c r="Q202" s="44"/>
    </row>
    <row r="203" spans="1:20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87"/>
      <c r="M203" s="61"/>
      <c r="N203" s="2"/>
      <c r="O203" s="2"/>
      <c r="P203" s="2"/>
      <c r="Q203" s="2"/>
    </row>
    <row r="204" spans="1:20" x14ac:dyDescent="0.25">
      <c r="M204" s="61"/>
      <c r="T204" s="45"/>
    </row>
    <row r="205" spans="1:20" x14ac:dyDescent="0.25">
      <c r="M205" s="61"/>
    </row>
    <row r="206" spans="1:20" x14ac:dyDescent="0.25">
      <c r="M206" s="61"/>
    </row>
    <row r="207" spans="1:20" x14ac:dyDescent="0.25">
      <c r="M207" s="61"/>
    </row>
  </sheetData>
  <mergeCells count="7">
    <mergeCell ref="O1:Q1"/>
    <mergeCell ref="A3:Q3"/>
    <mergeCell ref="A4:Q4"/>
    <mergeCell ref="A5:Q5"/>
    <mergeCell ref="B7:G7"/>
    <mergeCell ref="H7:M7"/>
    <mergeCell ref="N7:Q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08.01.2020</vt:lpstr>
      <vt:lpstr>13.01.2020</vt:lpstr>
      <vt:lpstr>20.01.2020</vt:lpstr>
      <vt:lpstr>27.01.2020</vt:lpstr>
      <vt:lpstr>01.06.2020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2020-06-09T13:27:49Z</dcterms:modified>
</cp:coreProperties>
</file>